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35" windowWidth="13950" windowHeight="11640" activeTab="1"/>
  </bookViews>
  <sheets>
    <sheet name="Allocations" sheetId="1" r:id="rId1"/>
    <sheet name="Worksheet" sheetId="2" r:id="rId2"/>
  </sheets>
  <definedNames>
    <definedName name="_xlnm.Print_Area" localSheetId="1">'Worksheet'!$A$1:$S$104</definedName>
  </definedNames>
  <calcPr fullCalcOnLoad="1"/>
</workbook>
</file>

<file path=xl/sharedStrings.xml><?xml version="1.0" encoding="utf-8"?>
<sst xmlns="http://schemas.openxmlformats.org/spreadsheetml/2006/main" count="183" uniqueCount="155">
  <si>
    <t>County</t>
  </si>
  <si>
    <t>Co #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</si>
  <si>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</si>
  <si>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</si>
  <si>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</si>
  <si>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</si>
  <si>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</si>
  <si>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</si>
  <si>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</si>
  <si>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</si>
  <si>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</si>
  <si>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</si>
  <si>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</si>
  <si>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</si>
  <si>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</si>
  <si>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</si>
  <si>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</si>
  <si>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</si>
  <si>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</si>
  <si>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</si>
  <si>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</si>
  <si>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</si>
  <si>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</si>
  <si>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</si>
  <si>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</si>
  <si>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</si>
  <si>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</si>
  <si>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</si>
  <si>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</si>
  <si>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</si>
  <si>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</si>
  <si>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</si>
  <si>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</si>
  <si>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</si>
  <si>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</si>
  <si>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</si>
  <si>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</si>
  <si>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</si>
  <si>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</si>
  <si>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</si>
  <si>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</si>
  <si>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</si>
  <si>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</si>
  <si>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</si>
  <si>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</si>
  <si>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</si>
  <si>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</si>
  <si>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</si>
  <si>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</si>
  <si>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</si>
  <si>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</si>
  <si>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</si>
  <si>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</si>
  <si>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</si>
  <si>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</si>
  <si>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</si>
  <si>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</si>
  <si>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</si>
  <si>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</si>
  <si>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</si>
  <si>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</si>
  <si>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</si>
  <si>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</si>
  <si>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</si>
  <si>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</si>
  <si>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</si>
  <si>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</si>
  <si>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</si>
  <si>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</si>
  <si>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</si>
  <si>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</si>
  <si>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</si>
  <si>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</si>
  <si>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</si>
  <si>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</si>
  <si>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</si>
  <si>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</si>
  <si>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</si>
  <si>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</si>
  <si>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</si>
  <si>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</si>
  <si>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</si>
  <si>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</si>
  <si>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</si>
  <si>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</si>
  <si>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</si>
  <si>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</si>
  <si>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</si>
  <si>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</si>
  <si>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</si>
  <si>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</si>
  <si>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</si>
  <si>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</si>
  <si>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</si>
  <si>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</si>
  <si>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</si>
  <si>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</si>
  <si>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</si>
  <si>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</si>
  <si>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</si>
  <si>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</si>
  <si>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3 Year Total</t>
  </si>
  <si>
    <t>3 Year Average</t>
  </si>
  <si>
    <t>Reallocation Factor</t>
  </si>
  <si>
    <t>Reallocation</t>
  </si>
  <si>
    <t>Years Fund Accum</t>
  </si>
  <si>
    <t>Counties' Estimated Federal Bridge Fund Allocation:</t>
  </si>
  <si>
    <t>Rounded Counties' Estimated Federal Bridge Fund Allocation:</t>
  </si>
  <si>
    <t>Iowa's Final Federal Bridge Fund Allocation:</t>
  </si>
  <si>
    <t>Counties' Final Federal Bridge Fund Allocation:</t>
  </si>
  <si>
    <t>Estimated Obligation Limitation:</t>
  </si>
  <si>
    <t>Final Obligation Limitation</t>
  </si>
  <si>
    <t>Actual Low Bids</t>
  </si>
  <si>
    <t>Contract Amt</t>
  </si>
  <si>
    <t>Total Contract</t>
  </si>
  <si>
    <t>Anticipated Lettings</t>
  </si>
  <si>
    <t>HBP Allocation</t>
  </si>
  <si>
    <t>HBP Funding</t>
  </si>
  <si>
    <t>Est. Allocation to counties not losing money</t>
  </si>
  <si>
    <t>FFY2011
Actual</t>
  </si>
  <si>
    <t>November 20, 2012</t>
  </si>
  <si>
    <t>December 18, 2012</t>
  </si>
  <si>
    <t>Updated:</t>
  </si>
  <si>
    <t>Estimate Amt</t>
  </si>
  <si>
    <t>Highway Bridge Program (HBP) Funding - FFY 2013</t>
  </si>
  <si>
    <t>FFY 2013 Allocation Factor</t>
  </si>
  <si>
    <t>FFY2012
Actual</t>
  </si>
  <si>
    <t>FFY2013
Estimated</t>
  </si>
  <si>
    <t>Actual
FFY2012
Ending Balance</t>
  </si>
  <si>
    <t>Estimated FFY2013 Beginning Balance</t>
  </si>
  <si>
    <t>Let Amounts November 2012 - October 2013</t>
  </si>
  <si>
    <t>November 19, 2013</t>
  </si>
  <si>
    <t>December 17, 2013</t>
  </si>
  <si>
    <t>Amount to be reallocated at end of FFY 2013 (if not spent by then)</t>
  </si>
  <si>
    <t>Actual FFY2013
Allocation</t>
  </si>
  <si>
    <t>Actual
FFY2013
Ending
Balance</t>
  </si>
  <si>
    <t>January 16, 2013</t>
  </si>
  <si>
    <t>February 19, 2013</t>
  </si>
  <si>
    <t>March 19, 2013</t>
  </si>
  <si>
    <t>April 16, 2013</t>
  </si>
  <si>
    <t>May 21, 2013</t>
  </si>
  <si>
    <t>June 18, 2013</t>
  </si>
  <si>
    <t xml:space="preserve"> July 16, 2013</t>
  </si>
  <si>
    <t xml:space="preserve"> August 20, 2013</t>
  </si>
  <si>
    <t>September 17, 2013</t>
  </si>
  <si>
    <t>October 15, 2013</t>
  </si>
  <si>
    <t>Highway Bridge Program (HBP) - FFY 2013</t>
  </si>
  <si>
    <t>Counties' percentage (compared to cities):</t>
  </si>
  <si>
    <t>Iowa's Estimated STP Bridge Fund Allocation:</t>
  </si>
  <si>
    <t>Estimated FFY2013
Ending
Balance</t>
  </si>
  <si>
    <t>12 mo. Grace period - ICEA Exec Board 2-22-13</t>
  </si>
  <si>
    <t>Joint project</t>
  </si>
  <si>
    <t>Grace period - end of 2014</t>
  </si>
  <si>
    <t>If project in before March 1, doesn't lose funds</t>
  </si>
  <si>
    <t>Joint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</si>
</sst>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#,##0.000000000_);[Red]\(#,##0.000000000\)"/>
    <numFmt numFmtId="166" formatCode="&quot;$&quot;#,##0.00"/>
    <numFmt numFmtId="167" formatCode="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pple Chancery"/>
      <family val="4"/>
    </font>
    <font>
      <sz val="8"/>
      <name val="Apple Chancery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Chancery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double"/>
      <right/>
      <top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/>
      <top/>
      <bottom/>
    </border>
    <border>
      <left style="double"/>
      <right style="thin"/>
      <top style="thin"/>
      <bottom style="double"/>
    </border>
    <border>
      <left style="thin"/>
      <right/>
      <top/>
      <bottom style="double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double"/>
      <right style="thin"/>
      <top style="thin"/>
      <bottom/>
    </border>
    <border>
      <left style="double"/>
      <right style="double"/>
      <top style="thin"/>
      <bottom/>
    </border>
    <border>
      <left/>
      <right style="double"/>
      <top/>
      <bottom style="thin"/>
    </border>
    <border>
      <left style="thin"/>
      <right/>
      <top style="thin"/>
      <bottom/>
    </border>
    <border>
      <left style="double"/>
      <right style="double"/>
      <top style="thin"/>
      <bottom style="double"/>
    </border>
    <border>
      <left style="double">
        <color indexed="8"/>
      </left>
      <right/>
      <top/>
      <bottom/>
    </border>
    <border>
      <left style="double"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double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vertical="top"/>
    </xf>
    <xf numFmtId="0" fontId="43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49" fontId="45" fillId="0" borderId="10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5" fontId="45" fillId="0" borderId="0" xfId="0" applyNumberFormat="1" applyFont="1" applyAlignment="1">
      <alignment/>
    </xf>
    <xf numFmtId="37" fontId="45" fillId="0" borderId="12" xfId="0" applyNumberFormat="1" applyFont="1" applyBorder="1" applyAlignment="1">
      <alignment horizontal="center"/>
    </xf>
    <xf numFmtId="40" fontId="45" fillId="0" borderId="0" xfId="0" applyNumberFormat="1" applyFont="1" applyBorder="1" applyAlignment="1">
      <alignment horizontal="right" vertical="center"/>
    </xf>
    <xf numFmtId="8" fontId="45" fillId="0" borderId="13" xfId="0" applyNumberFormat="1" applyFont="1" applyBorder="1" applyAlignment="1">
      <alignment horizontal="right" vertical="center"/>
    </xf>
    <xf numFmtId="40" fontId="45" fillId="0" borderId="14" xfId="0" applyNumberFormat="1" applyFont="1" applyBorder="1" applyAlignment="1">
      <alignment horizontal="right" vertical="center"/>
    </xf>
    <xf numFmtId="40" fontId="45" fillId="0" borderId="13" xfId="0" applyNumberFormat="1" applyFont="1" applyBorder="1" applyAlignment="1">
      <alignment horizontal="right" vertical="center"/>
    </xf>
    <xf numFmtId="5" fontId="45" fillId="0" borderId="10" xfId="0" applyNumberFormat="1" applyFont="1" applyBorder="1" applyAlignment="1">
      <alignment/>
    </xf>
    <xf numFmtId="37" fontId="45" fillId="0" borderId="15" xfId="0" applyNumberFormat="1" applyFont="1" applyBorder="1" applyAlignment="1">
      <alignment horizontal="center"/>
    </xf>
    <xf numFmtId="40" fontId="45" fillId="0" borderId="11" xfId="0" applyNumberFormat="1" applyFont="1" applyBorder="1" applyAlignment="1">
      <alignment horizontal="right" vertical="center"/>
    </xf>
    <xf numFmtId="40" fontId="45" fillId="0" borderId="16" xfId="0" applyNumberFormat="1" applyFont="1" applyBorder="1" applyAlignment="1">
      <alignment horizontal="right" vertical="center"/>
    </xf>
    <xf numFmtId="40" fontId="45" fillId="0" borderId="10" xfId="0" applyNumberFormat="1" applyFont="1" applyBorder="1" applyAlignment="1">
      <alignment horizontal="right" vertical="center"/>
    </xf>
    <xf numFmtId="5" fontId="45" fillId="0" borderId="0" xfId="0" applyNumberFormat="1" applyFont="1" applyBorder="1" applyAlignment="1">
      <alignment/>
    </xf>
    <xf numFmtId="5" fontId="6" fillId="0" borderId="0" xfId="0" applyNumberFormat="1" applyFont="1" applyBorder="1" applyAlignment="1">
      <alignment/>
    </xf>
    <xf numFmtId="5" fontId="6" fillId="0" borderId="10" xfId="0" applyNumberFormat="1" applyFont="1" applyBorder="1" applyAlignment="1">
      <alignment/>
    </xf>
    <xf numFmtId="0" fontId="45" fillId="0" borderId="12" xfId="0" applyFont="1" applyBorder="1" applyAlignment="1">
      <alignment horizontal="center"/>
    </xf>
    <xf numFmtId="8" fontId="44" fillId="0" borderId="17" xfId="0" applyNumberFormat="1" applyFont="1" applyBorder="1" applyAlignment="1">
      <alignment horizontal="right" vertical="center"/>
    </xf>
    <xf numFmtId="8" fontId="44" fillId="0" borderId="18" xfId="0" applyNumberFormat="1" applyFont="1" applyBorder="1" applyAlignment="1">
      <alignment horizontal="right" vertical="center"/>
    </xf>
    <xf numFmtId="8" fontId="44" fillId="0" borderId="19" xfId="0" applyNumberFormat="1" applyFont="1" applyBorder="1" applyAlignment="1">
      <alignment horizontal="right" vertical="center"/>
    </xf>
    <xf numFmtId="49" fontId="45" fillId="0" borderId="20" xfId="0" applyNumberFormat="1" applyFont="1" applyBorder="1" applyAlignment="1">
      <alignment horizontal="center" vertical="center"/>
    </xf>
    <xf numFmtId="49" fontId="45" fillId="0" borderId="21" xfId="0" applyNumberFormat="1" applyFont="1" applyBorder="1" applyAlignment="1">
      <alignment horizontal="center" vertical="center"/>
    </xf>
    <xf numFmtId="8" fontId="45" fillId="0" borderId="22" xfId="0" applyNumberFormat="1" applyFont="1" applyBorder="1" applyAlignment="1">
      <alignment horizontal="right" vertical="center"/>
    </xf>
    <xf numFmtId="40" fontId="45" fillId="0" borderId="22" xfId="0" applyNumberFormat="1" applyFont="1" applyBorder="1" applyAlignment="1">
      <alignment horizontal="right" vertical="center"/>
    </xf>
    <xf numFmtId="40" fontId="45" fillId="0" borderId="21" xfId="0" applyNumberFormat="1" applyFont="1" applyBorder="1" applyAlignment="1">
      <alignment horizontal="right" vertical="center"/>
    </xf>
    <xf numFmtId="8" fontId="44" fillId="0" borderId="23" xfId="0" applyNumberFormat="1" applyFont="1" applyBorder="1" applyAlignment="1">
      <alignment horizontal="right" vertical="center"/>
    </xf>
    <xf numFmtId="40" fontId="45" fillId="0" borderId="24" xfId="0" applyNumberFormat="1" applyFont="1" applyBorder="1" applyAlignment="1">
      <alignment horizontal="right" vertical="center"/>
    </xf>
    <xf numFmtId="40" fontId="45" fillId="0" borderId="20" xfId="0" applyNumberFormat="1" applyFont="1" applyBorder="1" applyAlignment="1">
      <alignment horizontal="right" vertical="center"/>
    </xf>
    <xf numFmtId="40" fontId="45" fillId="0" borderId="24" xfId="0" applyNumberFormat="1" applyFont="1" applyFill="1" applyBorder="1" applyAlignment="1">
      <alignment horizontal="right" vertical="center"/>
    </xf>
    <xf numFmtId="8" fontId="44" fillId="0" borderId="25" xfId="0" applyNumberFormat="1" applyFont="1" applyBorder="1" applyAlignment="1">
      <alignment horizontal="right" vertical="center"/>
    </xf>
    <xf numFmtId="49" fontId="45" fillId="0" borderId="21" xfId="0" applyNumberFormat="1" applyFont="1" applyBorder="1" applyAlignment="1">
      <alignment horizontal="center" vertical="center" wrapText="1"/>
    </xf>
    <xf numFmtId="40" fontId="45" fillId="0" borderId="22" xfId="0" applyNumberFormat="1" applyFont="1" applyFill="1" applyBorder="1" applyAlignment="1">
      <alignment horizontal="right" vertical="center"/>
    </xf>
    <xf numFmtId="8" fontId="44" fillId="0" borderId="26" xfId="0" applyNumberFormat="1" applyFont="1" applyBorder="1" applyAlignment="1">
      <alignment horizontal="right" vertical="center"/>
    </xf>
    <xf numFmtId="40" fontId="45" fillId="0" borderId="27" xfId="0" applyNumberFormat="1" applyFont="1" applyBorder="1" applyAlignment="1">
      <alignment horizontal="right" vertical="center"/>
    </xf>
    <xf numFmtId="49" fontId="45" fillId="0" borderId="28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/>
    </xf>
    <xf numFmtId="167" fontId="45" fillId="0" borderId="29" xfId="0" applyNumberFormat="1" applyFont="1" applyBorder="1" applyAlignment="1">
      <alignment horizontal="right" vertical="center"/>
    </xf>
    <xf numFmtId="8" fontId="44" fillId="0" borderId="30" xfId="0" applyNumberFormat="1" applyFont="1" applyBorder="1" applyAlignment="1">
      <alignment/>
    </xf>
    <xf numFmtId="8" fontId="7" fillId="0" borderId="30" xfId="0" applyNumberFormat="1" applyFont="1" applyBorder="1" applyAlignment="1">
      <alignment/>
    </xf>
    <xf numFmtId="8" fontId="44" fillId="0" borderId="31" xfId="0" applyNumberFormat="1" applyFont="1" applyBorder="1" applyAlignment="1">
      <alignment horizontal="right" vertical="center"/>
    </xf>
    <xf numFmtId="8" fontId="44" fillId="0" borderId="30" xfId="0" applyNumberFormat="1" applyFont="1" applyBorder="1" applyAlignment="1">
      <alignment horizontal="right" vertical="center"/>
    </xf>
    <xf numFmtId="164" fontId="45" fillId="0" borderId="32" xfId="0" applyNumberFormat="1" applyFont="1" applyBorder="1" applyAlignment="1">
      <alignment horizontal="right" vertical="center"/>
    </xf>
    <xf numFmtId="164" fontId="45" fillId="0" borderId="33" xfId="0" applyNumberFormat="1" applyFont="1" applyBorder="1" applyAlignment="1">
      <alignment horizontal="right" vertical="center"/>
    </xf>
    <xf numFmtId="166" fontId="45" fillId="0" borderId="34" xfId="0" applyNumberFormat="1" applyFont="1" applyBorder="1" applyAlignment="1">
      <alignment horizontal="right" vertical="center"/>
    </xf>
    <xf numFmtId="40" fontId="45" fillId="0" borderId="34" xfId="0" applyNumberFormat="1" applyFont="1" applyBorder="1" applyAlignment="1">
      <alignment horizontal="right" vertical="center"/>
    </xf>
    <xf numFmtId="40" fontId="45" fillId="0" borderId="24" xfId="0" applyNumberFormat="1" applyFont="1" applyBorder="1" applyAlignment="1">
      <alignment horizontal="right" vertical="center"/>
    </xf>
    <xf numFmtId="40" fontId="45" fillId="0" borderId="35" xfId="0" applyNumberFormat="1" applyFont="1" applyBorder="1" applyAlignment="1">
      <alignment horizontal="right" vertical="center"/>
    </xf>
    <xf numFmtId="8" fontId="45" fillId="0" borderId="34" xfId="0" applyNumberFormat="1" applyFont="1" applyBorder="1" applyAlignment="1">
      <alignment horizontal="right" vertical="center"/>
    </xf>
    <xf numFmtId="8" fontId="45" fillId="0" borderId="36" xfId="0" applyNumberFormat="1" applyFont="1" applyBorder="1" applyAlignment="1">
      <alignment horizontal="right" vertical="center"/>
    </xf>
    <xf numFmtId="6" fontId="45" fillId="0" borderId="34" xfId="0" applyNumberFormat="1" applyFont="1" applyBorder="1" applyAlignment="1" applyProtection="1">
      <alignment horizontal="right" vertical="center"/>
      <protection/>
    </xf>
    <xf numFmtId="165" fontId="45" fillId="0" borderId="34" xfId="0" applyNumberFormat="1" applyFont="1" applyBorder="1" applyAlignment="1">
      <alignment horizontal="right" vertical="center"/>
    </xf>
    <xf numFmtId="38" fontId="45" fillId="0" borderId="34" xfId="0" applyNumberFormat="1" applyFont="1" applyBorder="1" applyAlignment="1" applyProtection="1">
      <alignment horizontal="right" vertical="center"/>
      <protection/>
    </xf>
    <xf numFmtId="38" fontId="45" fillId="0" borderId="35" xfId="0" applyNumberFormat="1" applyFont="1" applyBorder="1" applyAlignment="1" applyProtection="1">
      <alignment horizontal="right" vertical="center"/>
      <protection/>
    </xf>
    <xf numFmtId="165" fontId="45" fillId="0" borderId="35" xfId="0" applyNumberFormat="1" applyFont="1" applyBorder="1" applyAlignment="1">
      <alignment horizontal="right" vertical="center"/>
    </xf>
    <xf numFmtId="8" fontId="44" fillId="0" borderId="37" xfId="0" applyNumberFormat="1" applyFont="1" applyBorder="1" applyAlignment="1">
      <alignment horizontal="right" vertical="center"/>
    </xf>
    <xf numFmtId="6" fontId="44" fillId="0" borderId="31" xfId="0" applyNumberFormat="1" applyFont="1" applyBorder="1" applyAlignment="1">
      <alignment horizontal="right" vertical="center"/>
    </xf>
    <xf numFmtId="165" fontId="44" fillId="0" borderId="30" xfId="0" applyNumberFormat="1" applyFont="1" applyBorder="1" applyAlignment="1">
      <alignment horizontal="right" vertical="center"/>
    </xf>
    <xf numFmtId="6" fontId="44" fillId="0" borderId="23" xfId="0" applyNumberFormat="1" applyFont="1" applyBorder="1" applyAlignment="1">
      <alignment horizontal="right" vertical="center"/>
    </xf>
    <xf numFmtId="8" fontId="44" fillId="0" borderId="23" xfId="0" applyNumberFormat="1" applyFont="1" applyBorder="1" applyAlignment="1">
      <alignment/>
    </xf>
    <xf numFmtId="40" fontId="45" fillId="0" borderId="22" xfId="0" applyNumberFormat="1" applyFont="1" applyBorder="1" applyAlignment="1">
      <alignment/>
    </xf>
    <xf numFmtId="40" fontId="45" fillId="0" borderId="21" xfId="0" applyNumberFormat="1" applyFont="1" applyBorder="1" applyAlignment="1">
      <alignment/>
    </xf>
    <xf numFmtId="8" fontId="45" fillId="0" borderId="22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35" xfId="0" applyNumberFormat="1" applyFont="1" applyBorder="1" applyAlignment="1">
      <alignment horizontal="center" vertical="center" wrapText="1"/>
    </xf>
    <xf numFmtId="8" fontId="42" fillId="0" borderId="0" xfId="0" applyNumberFormat="1" applyFont="1" applyAlignment="1">
      <alignment horizontal="left" vertical="center"/>
    </xf>
    <xf numFmtId="8" fontId="42" fillId="0" borderId="0" xfId="0" applyNumberFormat="1" applyFont="1" applyAlignment="1">
      <alignment horizontal="left"/>
    </xf>
    <xf numFmtId="40" fontId="42" fillId="0" borderId="0" xfId="0" applyNumberFormat="1" applyFont="1" applyAlignment="1">
      <alignment horizontal="left" vertical="center"/>
    </xf>
    <xf numFmtId="40" fontId="42" fillId="0" borderId="0" xfId="0" applyNumberFormat="1" applyFont="1" applyAlignment="1">
      <alignment horizontal="left"/>
    </xf>
    <xf numFmtId="38" fontId="42" fillId="0" borderId="0" xfId="0" applyNumberFormat="1" applyFont="1" applyAlignment="1">
      <alignment horizontal="left"/>
    </xf>
    <xf numFmtId="40" fontId="45" fillId="0" borderId="0" xfId="0" applyNumberFormat="1" applyFont="1" applyFill="1" applyBorder="1" applyAlignment="1">
      <alignment horizontal="right" vertical="center"/>
    </xf>
    <xf numFmtId="166" fontId="45" fillId="0" borderId="34" xfId="0" applyNumberFormat="1" applyFont="1" applyBorder="1" applyAlignment="1" applyProtection="1">
      <alignment horizontal="right" vertical="center"/>
      <protection/>
    </xf>
    <xf numFmtId="166" fontId="45" fillId="0" borderId="22" xfId="0" applyNumberFormat="1" applyFont="1" applyBorder="1" applyAlignment="1">
      <alignment horizontal="right" vertical="center"/>
    </xf>
    <xf numFmtId="166" fontId="45" fillId="0" borderId="35" xfId="0" applyNumberFormat="1" applyFont="1" applyBorder="1" applyAlignment="1" applyProtection="1">
      <alignment horizontal="right" vertical="center"/>
      <protection/>
    </xf>
    <xf numFmtId="166" fontId="45" fillId="0" borderId="21" xfId="0" applyNumberFormat="1" applyFont="1" applyBorder="1" applyAlignment="1">
      <alignment horizontal="right" vertical="center"/>
    </xf>
    <xf numFmtId="8" fontId="44" fillId="0" borderId="38" xfId="0" applyNumberFormat="1" applyFont="1" applyBorder="1" applyAlignment="1">
      <alignment horizontal="right" vertical="center"/>
    </xf>
    <xf numFmtId="0" fontId="45" fillId="0" borderId="39" xfId="0" applyFont="1" applyBorder="1" applyAlignment="1">
      <alignment horizontal="right" vertical="center"/>
    </xf>
    <xf numFmtId="0" fontId="45" fillId="0" borderId="40" xfId="0" applyFont="1" applyBorder="1" applyAlignment="1">
      <alignment horizontal="right" vertical="center"/>
    </xf>
    <xf numFmtId="8" fontId="45" fillId="0" borderId="35" xfId="0" applyNumberFormat="1" applyFont="1" applyBorder="1" applyAlignment="1">
      <alignment horizontal="right" vertical="center"/>
    </xf>
    <xf numFmtId="8" fontId="42" fillId="0" borderId="0" xfId="0" applyNumberFormat="1" applyFont="1" applyAlignment="1">
      <alignment horizontal="center"/>
    </xf>
    <xf numFmtId="40" fontId="45" fillId="0" borderId="41" xfId="0" applyNumberFormat="1" applyFont="1" applyBorder="1" applyAlignment="1">
      <alignment horizontal="right" vertical="center"/>
    </xf>
    <xf numFmtId="164" fontId="45" fillId="0" borderId="42" xfId="0" applyNumberFormat="1" applyFont="1" applyBorder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8" fontId="45" fillId="0" borderId="0" xfId="0" applyNumberFormat="1" applyFont="1" applyBorder="1" applyAlignment="1">
      <alignment horizontal="right" vertical="center"/>
    </xf>
    <xf numFmtId="8" fontId="45" fillId="0" borderId="10" xfId="0" applyNumberFormat="1" applyFont="1" applyBorder="1" applyAlignment="1">
      <alignment horizontal="right" vertical="center"/>
    </xf>
    <xf numFmtId="8" fontId="45" fillId="0" borderId="21" xfId="0" applyNumberFormat="1" applyFont="1" applyBorder="1" applyAlignment="1">
      <alignment horizontal="right" vertical="center"/>
    </xf>
    <xf numFmtId="166" fontId="6" fillId="0" borderId="22" xfId="0" applyNumberFormat="1" applyFont="1" applyBorder="1" applyAlignment="1">
      <alignment/>
    </xf>
    <xf numFmtId="166" fontId="45" fillId="0" borderId="10" xfId="0" applyNumberFormat="1" applyFont="1" applyBorder="1" applyAlignment="1">
      <alignment horizontal="right" vertical="center"/>
    </xf>
    <xf numFmtId="166" fontId="45" fillId="0" borderId="0" xfId="0" applyNumberFormat="1" applyFont="1" applyBorder="1" applyAlignment="1">
      <alignment horizontal="center" vertical="center"/>
    </xf>
    <xf numFmtId="166" fontId="45" fillId="0" borderId="22" xfId="0" applyNumberFormat="1" applyFont="1" applyBorder="1" applyAlignment="1">
      <alignment horizontal="center" vertical="center"/>
    </xf>
    <xf numFmtId="166" fontId="45" fillId="0" borderId="27" xfId="0" applyNumberFormat="1" applyFont="1" applyBorder="1" applyAlignment="1">
      <alignment horizontal="right" vertical="center"/>
    </xf>
    <xf numFmtId="8" fontId="45" fillId="0" borderId="43" xfId="0" applyNumberFormat="1" applyFont="1" applyBorder="1" applyAlignment="1">
      <alignment horizontal="right" vertical="center"/>
    </xf>
    <xf numFmtId="8" fontId="45" fillId="0" borderId="33" xfId="0" applyNumberFormat="1" applyFont="1" applyBorder="1" applyAlignment="1">
      <alignment horizontal="right" vertical="center"/>
    </xf>
    <xf numFmtId="8" fontId="44" fillId="0" borderId="44" xfId="0" applyNumberFormat="1" applyFont="1" applyBorder="1" applyAlignment="1">
      <alignment horizontal="right" vertical="center"/>
    </xf>
    <xf numFmtId="166" fontId="45" fillId="0" borderId="24" xfId="0" applyNumberFormat="1" applyFont="1" applyBorder="1" applyAlignment="1">
      <alignment horizontal="right" vertical="center"/>
    </xf>
    <xf numFmtId="166" fontId="45" fillId="0" borderId="20" xfId="0" applyNumberFormat="1" applyFont="1" applyBorder="1" applyAlignment="1">
      <alignment horizontal="right" vertical="center"/>
    </xf>
    <xf numFmtId="8" fontId="45" fillId="0" borderId="34" xfId="0" applyNumberFormat="1" applyFont="1" applyBorder="1" applyAlignment="1">
      <alignment horizontal="right"/>
    </xf>
    <xf numFmtId="40" fontId="45" fillId="0" borderId="34" xfId="0" applyNumberFormat="1" applyFont="1" applyBorder="1" applyAlignment="1">
      <alignment horizontal="right"/>
    </xf>
    <xf numFmtId="40" fontId="45" fillId="0" borderId="35" xfId="0" applyNumberFormat="1" applyFont="1" applyBorder="1" applyAlignment="1">
      <alignment horizontal="right"/>
    </xf>
    <xf numFmtId="0" fontId="44" fillId="0" borderId="0" xfId="0" applyFont="1" applyAlignment="1">
      <alignment horizontal="left"/>
    </xf>
    <xf numFmtId="14" fontId="44" fillId="0" borderId="0" xfId="0" applyNumberFormat="1" applyFont="1" applyAlignment="1">
      <alignment horizontal="left"/>
    </xf>
    <xf numFmtId="0" fontId="44" fillId="0" borderId="0" xfId="0" applyFont="1" applyAlignment="1">
      <alignment horizontal="right"/>
    </xf>
    <xf numFmtId="44" fontId="45" fillId="0" borderId="0" xfId="44" applyFont="1" applyBorder="1" applyAlignment="1">
      <alignment horizontal="right" vertical="center"/>
    </xf>
    <xf numFmtId="44" fontId="45" fillId="0" borderId="22" xfId="44" applyFont="1" applyBorder="1" applyAlignment="1">
      <alignment horizontal="right" vertical="center"/>
    </xf>
    <xf numFmtId="166" fontId="45" fillId="0" borderId="0" xfId="0" applyNumberFormat="1" applyFont="1" applyFill="1" applyBorder="1" applyAlignment="1">
      <alignment horizontal="right" vertical="center"/>
    </xf>
    <xf numFmtId="166" fontId="45" fillId="0" borderId="22" xfId="0" applyNumberFormat="1" applyFont="1" applyFill="1" applyBorder="1" applyAlignment="1">
      <alignment horizontal="right" vertical="center"/>
    </xf>
    <xf numFmtId="8" fontId="44" fillId="0" borderId="45" xfId="0" applyNumberFormat="1" applyFont="1" applyBorder="1" applyAlignment="1">
      <alignment horizontal="right" vertical="center"/>
    </xf>
    <xf numFmtId="5" fontId="4" fillId="0" borderId="46" xfId="0" applyNumberFormat="1" applyFont="1" applyBorder="1" applyAlignment="1">
      <alignment vertical="center"/>
    </xf>
    <xf numFmtId="166" fontId="45" fillId="0" borderId="14" xfId="0" applyNumberFormat="1" applyFont="1" applyBorder="1" applyAlignment="1">
      <alignment horizontal="right" vertical="center"/>
    </xf>
    <xf numFmtId="166" fontId="45" fillId="0" borderId="22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6" fontId="45" fillId="0" borderId="14" xfId="0" applyNumberFormat="1" applyFont="1" applyFill="1" applyBorder="1" applyAlignment="1">
      <alignment horizontal="right" vertical="center"/>
    </xf>
    <xf numFmtId="166" fontId="45" fillId="0" borderId="2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166" fontId="45" fillId="0" borderId="24" xfId="0" applyNumberFormat="1" applyFont="1" applyFill="1" applyBorder="1" applyAlignment="1">
      <alignment horizontal="right" vertical="center"/>
    </xf>
    <xf numFmtId="49" fontId="45" fillId="0" borderId="24" xfId="0" applyNumberFormat="1" applyFont="1" applyBorder="1" applyAlignment="1">
      <alignment horizontal="center" vertical="center" wrapText="1"/>
    </xf>
    <xf numFmtId="40" fontId="45" fillId="33" borderId="20" xfId="0" applyNumberFormat="1" applyFont="1" applyFill="1" applyBorder="1" applyAlignment="1">
      <alignment horizontal="right" vertical="center"/>
    </xf>
    <xf numFmtId="0" fontId="42" fillId="33" borderId="0" xfId="0" applyFont="1" applyFill="1" applyAlignment="1">
      <alignment/>
    </xf>
    <xf numFmtId="166" fontId="45" fillId="0" borderId="0" xfId="0" applyNumberFormat="1" applyFont="1" applyAlignment="1">
      <alignment/>
    </xf>
    <xf numFmtId="166" fontId="45" fillId="0" borderId="10" xfId="0" applyNumberFormat="1" applyFont="1" applyBorder="1" applyAlignment="1">
      <alignment horizontal="center" vertical="center"/>
    </xf>
    <xf numFmtId="166" fontId="45" fillId="0" borderId="21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right" vertical="center"/>
    </xf>
    <xf numFmtId="166" fontId="44" fillId="0" borderId="17" xfId="0" applyNumberFormat="1" applyFont="1" applyBorder="1" applyAlignment="1">
      <alignment horizontal="right" vertical="center"/>
    </xf>
    <xf numFmtId="166" fontId="44" fillId="0" borderId="26" xfId="0" applyNumberFormat="1" applyFont="1" applyBorder="1" applyAlignment="1">
      <alignment horizontal="right" vertical="center"/>
    </xf>
    <xf numFmtId="166" fontId="42" fillId="0" borderId="0" xfId="0" applyNumberFormat="1" applyFont="1" applyAlignment="1">
      <alignment/>
    </xf>
    <xf numFmtId="166" fontId="6" fillId="0" borderId="27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166" fontId="45" fillId="34" borderId="0" xfId="0" applyNumberFormat="1" applyFont="1" applyFill="1" applyBorder="1" applyAlignment="1">
      <alignment horizontal="right" vertical="center"/>
    </xf>
    <xf numFmtId="166" fontId="45" fillId="34" borderId="22" xfId="0" applyNumberFormat="1" applyFont="1" applyFill="1" applyBorder="1" applyAlignment="1">
      <alignment horizontal="right" vertical="center"/>
    </xf>
    <xf numFmtId="166" fontId="45" fillId="34" borderId="10" xfId="0" applyNumberFormat="1" applyFont="1" applyFill="1" applyBorder="1" applyAlignment="1">
      <alignment horizontal="right" vertical="center"/>
    </xf>
    <xf numFmtId="166" fontId="45" fillId="34" borderId="21" xfId="0" applyNumberFormat="1" applyFont="1" applyFill="1" applyBorder="1" applyAlignment="1">
      <alignment horizontal="right" vertical="center"/>
    </xf>
    <xf numFmtId="0" fontId="42" fillId="34" borderId="0" xfId="0" applyFont="1" applyFill="1" applyAlignment="1">
      <alignment/>
    </xf>
    <xf numFmtId="0" fontId="42" fillId="0" borderId="22" xfId="0" applyFont="1" applyBorder="1" applyAlignment="1">
      <alignment/>
    </xf>
    <xf numFmtId="40" fontId="45" fillId="33" borderId="24" xfId="0" applyNumberFormat="1" applyFont="1" applyFill="1" applyBorder="1" applyAlignment="1">
      <alignment horizontal="right" vertical="center"/>
    </xf>
    <xf numFmtId="166" fontId="45" fillId="0" borderId="11" xfId="0" applyNumberFormat="1" applyFont="1" applyBorder="1" applyAlignment="1">
      <alignment horizontal="right" vertical="center"/>
    </xf>
    <xf numFmtId="166" fontId="45" fillId="0" borderId="21" xfId="0" applyNumberFormat="1" applyFont="1" applyBorder="1" applyAlignment="1">
      <alignment/>
    </xf>
    <xf numFmtId="8" fontId="45" fillId="35" borderId="24" xfId="0" applyNumberFormat="1" applyFont="1" applyFill="1" applyBorder="1" applyAlignment="1">
      <alignment horizontal="right" vertical="center"/>
    </xf>
    <xf numFmtId="8" fontId="45" fillId="35" borderId="22" xfId="0" applyNumberFormat="1" applyFont="1" applyFill="1" applyBorder="1" applyAlignment="1">
      <alignment horizontal="right" vertical="center"/>
    </xf>
    <xf numFmtId="0" fontId="45" fillId="35" borderId="0" xfId="0" applyFont="1" applyFill="1" applyAlignment="1">
      <alignment/>
    </xf>
    <xf numFmtId="0" fontId="44" fillId="0" borderId="0" xfId="0" applyFont="1" applyAlignment="1">
      <alignment horizontal="left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49" fontId="45" fillId="0" borderId="47" xfId="0" applyNumberFormat="1" applyFont="1" applyBorder="1" applyAlignment="1">
      <alignment horizontal="center" vertical="center" wrapText="1"/>
    </xf>
    <xf numFmtId="49" fontId="45" fillId="0" borderId="48" xfId="0" applyNumberFormat="1" applyFont="1" applyBorder="1" applyAlignment="1">
      <alignment horizontal="center" vertical="center" wrapText="1"/>
    </xf>
    <xf numFmtId="49" fontId="45" fillId="0" borderId="44" xfId="0" applyNumberFormat="1" applyFont="1" applyBorder="1" applyAlignment="1">
      <alignment horizontal="center" vertical="center" wrapText="1"/>
    </xf>
    <xf numFmtId="49" fontId="45" fillId="0" borderId="49" xfId="0" applyNumberFormat="1" applyFont="1" applyBorder="1" applyAlignment="1">
      <alignment horizontal="center" vertical="center" wrapText="1"/>
    </xf>
    <xf numFmtId="49" fontId="45" fillId="0" borderId="32" xfId="0" applyNumberFormat="1" applyFont="1" applyBorder="1" applyAlignment="1">
      <alignment horizontal="center" vertical="center" wrapText="1"/>
    </xf>
    <xf numFmtId="166" fontId="45" fillId="0" borderId="32" xfId="0" applyNumberFormat="1" applyFont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49" fontId="45" fillId="0" borderId="50" xfId="0" applyNumberFormat="1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46" fillId="0" borderId="0" xfId="0" applyNumberFormat="1" applyFont="1" applyFill="1" applyAlignment="1">
      <alignment horizontal="left" vertical="top" wrapText="1"/>
    </xf>
    <xf numFmtId="5" fontId="46" fillId="0" borderId="0" xfId="0" applyNumberFormat="1" applyFont="1" applyFill="1" applyAlignment="1">
      <alignment horizontal="left" vertical="top" wrapText="1"/>
    </xf>
    <xf numFmtId="0" fontId="9" fillId="0" borderId="0" xfId="0" applyNumberFormat="1" applyFont="1" applyFill="1" applyAlignment="1">
      <alignment horizontal="left" vertical="top" wrapText="1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35" xfId="0" applyFont="1" applyFill="1" applyBorder="1" applyAlignment="1">
      <alignment horizontal="center" vertical="center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8" fontId="45" fillId="0" borderId="34" xfId="0" applyNumberFormat="1" applyFont="1" applyFill="1" applyBorder="1" applyAlignment="1">
      <alignment horizontal="center" vertical="center" wrapText="1"/>
    </xf>
    <xf numFmtId="8" fontId="45" fillId="0" borderId="35" xfId="0" applyNumberFormat="1" applyFont="1" applyFill="1" applyBorder="1" applyAlignment="1">
      <alignment horizontal="center" vertical="center" wrapText="1"/>
    </xf>
    <xf numFmtId="8" fontId="45" fillId="0" borderId="24" xfId="0" applyNumberFormat="1" applyFont="1" applyFill="1" applyBorder="1" applyAlignment="1">
      <alignment horizontal="center" vertical="center" wrapText="1"/>
    </xf>
    <xf numFmtId="8" fontId="45" fillId="0" borderId="20" xfId="0" applyNumberFormat="1" applyFont="1" applyFill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3.421875" style="0" bestFit="1" customWidth="1"/>
    <col min="2" max="2" width="14.421875" style="11" bestFit="1" customWidth="1"/>
  </cols>
  <sheetData>
    <row r="1" spans="1:25" ht="15">
      <c r="A1" s="7" t="s">
        <v>146</v>
      </c>
      <c r="B1" s="1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17" ht="15">
      <c r="A2" s="9" t="s">
        <v>148</v>
      </c>
      <c r="B2" s="80">
        <v>43160722</v>
      </c>
      <c r="F2" s="8"/>
      <c r="J2" s="2"/>
      <c r="K2" s="2"/>
      <c r="L2" s="2"/>
      <c r="M2" s="2"/>
      <c r="N2" s="2"/>
      <c r="O2" s="2"/>
      <c r="P2" s="2"/>
      <c r="Q2" s="2"/>
    </row>
    <row r="3" spans="1:2" ht="15">
      <c r="A3" s="9" t="s">
        <v>110</v>
      </c>
      <c r="B3" s="81">
        <v>94.534</v>
      </c>
    </row>
    <row r="4" spans="1:2" ht="15">
      <c r="A4" s="9" t="s">
        <v>147</v>
      </c>
      <c r="B4" s="83">
        <v>79</v>
      </c>
    </row>
    <row r="5" spans="1:2" ht="15">
      <c r="A5" s="9" t="s">
        <v>106</v>
      </c>
      <c r="B5" s="80">
        <f>B2*(B3/100)*(B4/100)</f>
        <v>32233229.979029205</v>
      </c>
    </row>
    <row r="6" spans="1:2" ht="15">
      <c r="A6" s="9" t="s">
        <v>107</v>
      </c>
      <c r="B6" s="80">
        <v>32000000</v>
      </c>
    </row>
    <row r="7" spans="1:2" ht="15">
      <c r="A7" s="9" t="s">
        <v>111</v>
      </c>
      <c r="B7" s="82">
        <v>95.745</v>
      </c>
    </row>
    <row r="8" spans="1:3" ht="15">
      <c r="A8" s="9" t="s">
        <v>108</v>
      </c>
      <c r="B8" s="79"/>
      <c r="C8" s="9"/>
    </row>
    <row r="9" spans="1:2" ht="15">
      <c r="A9" s="9" t="s">
        <v>109</v>
      </c>
      <c r="B9" s="80">
        <v>33117000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4"/>
  <sheetViews>
    <sheetView tabSelected="1" zoomScalePageLayoutView="0" workbookViewId="0" topLeftCell="A1">
      <pane xSplit="2" ySplit="4" topLeftCell="M7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5" sqref="X5:X103"/>
    </sheetView>
  </sheetViews>
  <sheetFormatPr defaultColWidth="9.140625" defaultRowHeight="15"/>
  <cols>
    <col min="1" max="1" width="16.8515625" style="1" customWidth="1"/>
    <col min="2" max="2" width="4.8515625" style="2" bestFit="1" customWidth="1"/>
    <col min="3" max="8" width="12.7109375" style="2" customWidth="1"/>
    <col min="9" max="10" width="12.7109375" style="93" customWidth="1"/>
    <col min="11" max="13" width="12.7109375" style="2" customWidth="1"/>
    <col min="14" max="24" width="12.7109375" style="1" customWidth="1"/>
    <col min="25" max="32" width="11.7109375" style="1" customWidth="1"/>
    <col min="33" max="34" width="11.7109375" style="138" customWidth="1"/>
    <col min="35" max="47" width="11.7109375" style="1" customWidth="1"/>
    <col min="48" max="48" width="11.7109375" style="13" customWidth="1"/>
    <col min="49" max="16384" width="9.140625" style="1" customWidth="1"/>
  </cols>
  <sheetData>
    <row r="1" spans="1:47" ht="12.75">
      <c r="A1" s="153" t="s">
        <v>124</v>
      </c>
      <c r="B1" s="153"/>
      <c r="C1" s="153"/>
      <c r="D1" s="153"/>
      <c r="E1" s="115" t="s">
        <v>122</v>
      </c>
      <c r="F1" s="114">
        <v>41631</v>
      </c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2"/>
      <c r="AA1" s="13"/>
      <c r="AB1" s="13"/>
      <c r="AC1" s="13"/>
      <c r="AD1" s="13"/>
      <c r="AE1" s="13"/>
      <c r="AF1" s="13"/>
      <c r="AG1" s="132"/>
      <c r="AH1" s="13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</row>
    <row r="2" spans="1:48" s="3" customFormat="1" ht="27" customHeight="1">
      <c r="A2" s="180" t="s">
        <v>0</v>
      </c>
      <c r="B2" s="182" t="s">
        <v>1</v>
      </c>
      <c r="C2" s="192" t="s">
        <v>125</v>
      </c>
      <c r="D2" s="162" t="s">
        <v>116</v>
      </c>
      <c r="E2" s="162"/>
      <c r="F2" s="162"/>
      <c r="G2" s="162"/>
      <c r="H2" s="164"/>
      <c r="I2" s="190" t="s">
        <v>128</v>
      </c>
      <c r="J2" s="188" t="s">
        <v>129</v>
      </c>
      <c r="K2" s="154" t="s">
        <v>130</v>
      </c>
      <c r="L2" s="155"/>
      <c r="M2" s="162" t="s">
        <v>149</v>
      </c>
      <c r="N2" s="185" t="s">
        <v>105</v>
      </c>
      <c r="O2" s="187" t="s">
        <v>115</v>
      </c>
      <c r="P2" s="187"/>
      <c r="Q2" s="187"/>
      <c r="R2" s="187"/>
      <c r="S2" s="167" t="s">
        <v>133</v>
      </c>
      <c r="T2" s="169" t="s">
        <v>118</v>
      </c>
      <c r="U2" s="162" t="s">
        <v>103</v>
      </c>
      <c r="V2" s="169" t="s">
        <v>104</v>
      </c>
      <c r="W2" s="164" t="s">
        <v>134</v>
      </c>
      <c r="X2" s="171" t="s">
        <v>135</v>
      </c>
      <c r="Y2" s="173" t="s">
        <v>112</v>
      </c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</row>
    <row r="3" spans="1:49" s="3" customFormat="1" ht="15" customHeight="1">
      <c r="A3" s="180"/>
      <c r="B3" s="182"/>
      <c r="C3" s="192"/>
      <c r="D3" s="162" t="s">
        <v>119</v>
      </c>
      <c r="E3" s="162" t="s">
        <v>126</v>
      </c>
      <c r="F3" s="162" t="s">
        <v>127</v>
      </c>
      <c r="G3" s="162" t="s">
        <v>101</v>
      </c>
      <c r="H3" s="164" t="s">
        <v>102</v>
      </c>
      <c r="I3" s="190"/>
      <c r="J3" s="188"/>
      <c r="K3" s="162" t="s">
        <v>114</v>
      </c>
      <c r="L3" s="162" t="s">
        <v>117</v>
      </c>
      <c r="M3" s="162"/>
      <c r="N3" s="185"/>
      <c r="O3" s="156" t="s">
        <v>131</v>
      </c>
      <c r="P3" s="157"/>
      <c r="Q3" s="158" t="s">
        <v>132</v>
      </c>
      <c r="R3" s="159"/>
      <c r="S3" s="167"/>
      <c r="T3" s="169"/>
      <c r="U3" s="162"/>
      <c r="V3" s="169"/>
      <c r="W3" s="164"/>
      <c r="X3" s="171"/>
      <c r="Y3" s="156" t="s">
        <v>120</v>
      </c>
      <c r="Z3" s="157"/>
      <c r="AA3" s="158" t="s">
        <v>121</v>
      </c>
      <c r="AB3" s="159"/>
      <c r="AC3" s="160" t="s">
        <v>136</v>
      </c>
      <c r="AD3" s="160"/>
      <c r="AE3" s="160" t="s">
        <v>137</v>
      </c>
      <c r="AF3" s="160"/>
      <c r="AG3" s="161" t="s">
        <v>138</v>
      </c>
      <c r="AH3" s="161"/>
      <c r="AI3" s="160" t="s">
        <v>139</v>
      </c>
      <c r="AJ3" s="160"/>
      <c r="AK3" s="160" t="s">
        <v>140</v>
      </c>
      <c r="AL3" s="160"/>
      <c r="AM3" s="160" t="s">
        <v>141</v>
      </c>
      <c r="AN3" s="166"/>
      <c r="AO3" s="174" t="s">
        <v>142</v>
      </c>
      <c r="AP3" s="175"/>
      <c r="AQ3" s="174" t="s">
        <v>143</v>
      </c>
      <c r="AR3" s="175"/>
      <c r="AS3" s="174" t="s">
        <v>144</v>
      </c>
      <c r="AT3" s="175"/>
      <c r="AU3" s="176" t="s">
        <v>145</v>
      </c>
      <c r="AV3" s="175"/>
      <c r="AW3" s="121"/>
    </row>
    <row r="4" spans="1:48" s="4" customFormat="1" ht="12.75">
      <c r="A4" s="181"/>
      <c r="B4" s="183"/>
      <c r="C4" s="193"/>
      <c r="D4" s="163"/>
      <c r="E4" s="163"/>
      <c r="F4" s="163"/>
      <c r="G4" s="163"/>
      <c r="H4" s="165"/>
      <c r="I4" s="191"/>
      <c r="J4" s="189"/>
      <c r="K4" s="163"/>
      <c r="L4" s="163"/>
      <c r="M4" s="184"/>
      <c r="N4" s="186"/>
      <c r="O4" s="78" t="s">
        <v>123</v>
      </c>
      <c r="P4" s="77" t="s">
        <v>117</v>
      </c>
      <c r="Q4" s="78" t="s">
        <v>123</v>
      </c>
      <c r="R4" s="44" t="s">
        <v>117</v>
      </c>
      <c r="S4" s="168"/>
      <c r="T4" s="170"/>
      <c r="U4" s="163"/>
      <c r="V4" s="170"/>
      <c r="W4" s="165"/>
      <c r="X4" s="172"/>
      <c r="Y4" s="34" t="s">
        <v>113</v>
      </c>
      <c r="Z4" s="35" t="s">
        <v>117</v>
      </c>
      <c r="AA4" s="34" t="s">
        <v>113</v>
      </c>
      <c r="AB4" s="35" t="s">
        <v>117</v>
      </c>
      <c r="AC4" s="48" t="s">
        <v>113</v>
      </c>
      <c r="AD4" s="35" t="s">
        <v>117</v>
      </c>
      <c r="AE4" s="14" t="s">
        <v>113</v>
      </c>
      <c r="AF4" s="35" t="s">
        <v>117</v>
      </c>
      <c r="AG4" s="133" t="s">
        <v>113</v>
      </c>
      <c r="AH4" s="134" t="s">
        <v>117</v>
      </c>
      <c r="AI4" s="14" t="s">
        <v>113</v>
      </c>
      <c r="AJ4" s="35" t="s">
        <v>117</v>
      </c>
      <c r="AK4" s="15" t="s">
        <v>113</v>
      </c>
      <c r="AL4" s="35" t="s">
        <v>117</v>
      </c>
      <c r="AM4" s="34" t="s">
        <v>113</v>
      </c>
      <c r="AN4" s="35" t="s">
        <v>117</v>
      </c>
      <c r="AO4" s="34" t="s">
        <v>113</v>
      </c>
      <c r="AP4" s="35" t="s">
        <v>117</v>
      </c>
      <c r="AQ4" s="48" t="s">
        <v>113</v>
      </c>
      <c r="AR4" s="35" t="s">
        <v>117</v>
      </c>
      <c r="AS4" s="14" t="s">
        <v>113</v>
      </c>
      <c r="AT4" s="35" t="s">
        <v>117</v>
      </c>
      <c r="AU4" s="15" t="s">
        <v>113</v>
      </c>
      <c r="AV4" s="35" t="s">
        <v>117</v>
      </c>
    </row>
    <row r="5" spans="1:48" ht="12.75">
      <c r="A5" s="16" t="s">
        <v>2</v>
      </c>
      <c r="B5" s="17">
        <v>1</v>
      </c>
      <c r="C5" s="90">
        <v>0.011202963576624213</v>
      </c>
      <c r="D5" s="110">
        <v>337913.3966359084</v>
      </c>
      <c r="E5" s="36">
        <v>340773.00137185294</v>
      </c>
      <c r="F5" s="85">
        <f>C5*Allocations!$B$6</f>
        <v>358494.83445197484</v>
      </c>
      <c r="G5" s="85">
        <f aca="true" t="shared" si="0" ref="G5:G36">SUM(D5:F5)</f>
        <v>1037181.2324597362</v>
      </c>
      <c r="H5" s="86">
        <f aca="true" t="shared" si="1" ref="H5:H36">SUM(D5:F5)/3</f>
        <v>345727.0774865787</v>
      </c>
      <c r="I5" s="62">
        <v>256140.11577710783</v>
      </c>
      <c r="J5" s="61">
        <f>F5+I5</f>
        <v>614634.9502290827</v>
      </c>
      <c r="K5" s="57">
        <f>Y5+AA5+AC5+AE5+AG5+AI5+AK5+AM5+AO5+AQ5+AS5+AU5</f>
        <v>0</v>
      </c>
      <c r="L5" s="57">
        <f>Z5+AB5+AD5+AF5+AH5+AJ5+AL5+AN5+AP5+AR5+AT5+AV5</f>
        <v>0</v>
      </c>
      <c r="M5" s="58">
        <f>J5-L5</f>
        <v>614634.9502290827</v>
      </c>
      <c r="N5" s="95">
        <f aca="true" t="shared" si="2" ref="N5:N36">M5/H5</f>
        <v>1.7778039102330454</v>
      </c>
      <c r="O5" s="61"/>
      <c r="P5" s="19"/>
      <c r="Q5" s="19"/>
      <c r="R5" s="19"/>
      <c r="S5" s="59">
        <f aca="true" t="shared" si="3" ref="S5:S36">IF(((M5-G5)-(P5+R5))&gt;0,((M5-G5)-(P5+R5)),0)</f>
        <v>0</v>
      </c>
      <c r="T5" s="63">
        <f aca="true" t="shared" si="4" ref="T5:T36">IF(S5&gt;0,0,F5)</f>
        <v>358494.83445197484</v>
      </c>
      <c r="U5" s="64">
        <f aca="true" t="shared" si="5" ref="U5:U36">IF(T5&gt;0.01,F5/$T$104,0)</f>
        <v>0.011612274269954563</v>
      </c>
      <c r="V5" s="61">
        <f>IF(U5&gt;0.000000001,U5*$S$104,0)</f>
        <v>6753.658851676744</v>
      </c>
      <c r="W5" s="36">
        <f>C5*Allocations!$B$9</f>
        <v>371008.5447670641</v>
      </c>
      <c r="X5" s="62">
        <f>I5-L5+V5+W5-S5</f>
        <v>633902.3193958487</v>
      </c>
      <c r="Y5" s="40"/>
      <c r="Z5" s="37"/>
      <c r="AA5" s="40"/>
      <c r="AB5" s="47"/>
      <c r="AC5" s="18"/>
      <c r="AD5" s="37"/>
      <c r="AE5" s="97"/>
      <c r="AF5" s="36"/>
      <c r="AG5" s="96"/>
      <c r="AH5" s="86"/>
      <c r="AI5" s="18"/>
      <c r="AJ5" s="37"/>
      <c r="AK5" s="18"/>
      <c r="AL5" s="47"/>
      <c r="AM5" s="96"/>
      <c r="AN5" s="104"/>
      <c r="AO5" s="18"/>
      <c r="AP5" s="47"/>
      <c r="AQ5" s="18"/>
      <c r="AR5" s="37"/>
      <c r="AS5" s="18"/>
      <c r="AT5" s="37"/>
      <c r="AU5" s="20"/>
      <c r="AV5" s="75"/>
    </row>
    <row r="6" spans="1:48" ht="12.75">
      <c r="A6" s="16" t="s">
        <v>3</v>
      </c>
      <c r="B6" s="17">
        <v>2</v>
      </c>
      <c r="C6" s="90">
        <v>0.01049600101254377</v>
      </c>
      <c r="D6" s="111">
        <v>334750.03672817437</v>
      </c>
      <c r="E6" s="37">
        <v>340759.5313758956</v>
      </c>
      <c r="F6" s="85">
        <f>C6*Allocations!$B$6</f>
        <v>335872.0324014006</v>
      </c>
      <c r="G6" s="85">
        <f t="shared" si="0"/>
        <v>1011381.6005054705</v>
      </c>
      <c r="H6" s="86">
        <f t="shared" si="1"/>
        <v>337127.2001684902</v>
      </c>
      <c r="I6" s="62">
        <v>943295.4722695139</v>
      </c>
      <c r="J6" s="61">
        <f aca="true" t="shared" si="6" ref="J6:J69">F6+I6</f>
        <v>1279167.5046709145</v>
      </c>
      <c r="K6" s="58">
        <f aca="true" t="shared" si="7" ref="K6:K69">Y6+AA6+AC6+AE6+AG6+AI6+AK6+AM6+AO6+AQ6+AS6+AU6</f>
        <v>0</v>
      </c>
      <c r="L6" s="58">
        <f aca="true" t="shared" si="8" ref="L6:L69">Z6+AB6+AD6+AF6+AH6+AJ6+AL6+AN6+AP6+AR6+AT6+AV6</f>
        <v>0</v>
      </c>
      <c r="M6" s="58">
        <f>J6-L6</f>
        <v>1279167.5046709145</v>
      </c>
      <c r="N6" s="55">
        <f t="shared" si="2"/>
        <v>3.7943171124477924</v>
      </c>
      <c r="O6" s="58"/>
      <c r="P6" s="21"/>
      <c r="Q6" s="21">
        <v>983332.16</v>
      </c>
      <c r="R6" s="21">
        <v>786665.73</v>
      </c>
      <c r="S6" s="59">
        <f t="shared" si="3"/>
        <v>0</v>
      </c>
      <c r="T6" s="65">
        <f t="shared" si="4"/>
        <v>335872.0324014006</v>
      </c>
      <c r="U6" s="64">
        <f t="shared" si="5"/>
        <v>0.010879482171101181</v>
      </c>
      <c r="V6" s="58">
        <f>IF(U6&gt;0.000000001,U6*$S$104,0)</f>
        <v>6327.4694825826155</v>
      </c>
      <c r="W6" s="37">
        <f>C6*Allocations!$B$9</f>
        <v>347596.06553241203</v>
      </c>
      <c r="X6" s="62">
        <f aca="true" t="shared" si="9" ref="X6:X69">I6-L6+V6+W6-S6</f>
        <v>1297219.0072845086</v>
      </c>
      <c r="Y6" s="40"/>
      <c r="Z6" s="37"/>
      <c r="AA6" s="108"/>
      <c r="AB6" s="86"/>
      <c r="AC6" s="18"/>
      <c r="AD6" s="37"/>
      <c r="AE6" s="97"/>
      <c r="AF6" s="36"/>
      <c r="AG6" s="96"/>
      <c r="AH6" s="86"/>
      <c r="AI6" s="18"/>
      <c r="AJ6" s="37"/>
      <c r="AK6" s="18"/>
      <c r="AL6" s="37"/>
      <c r="AM6" s="18"/>
      <c r="AN6" s="37"/>
      <c r="AO6" s="18"/>
      <c r="AP6" s="37"/>
      <c r="AQ6" s="18"/>
      <c r="AR6" s="37"/>
      <c r="AS6" s="18"/>
      <c r="AT6" s="37"/>
      <c r="AU6" s="20"/>
      <c r="AV6" s="73"/>
    </row>
    <row r="7" spans="1:48" ht="12.75">
      <c r="A7" s="16" t="s">
        <v>4</v>
      </c>
      <c r="B7" s="17">
        <v>3</v>
      </c>
      <c r="C7" s="90">
        <v>0.007339361499533783</v>
      </c>
      <c r="D7" s="111">
        <v>229971.47179564793</v>
      </c>
      <c r="E7" s="37">
        <v>206251.5627455193</v>
      </c>
      <c r="F7" s="85">
        <f>C7*Allocations!$B$6</f>
        <v>234859.56798508106</v>
      </c>
      <c r="G7" s="85">
        <f t="shared" si="0"/>
        <v>671082.6025262482</v>
      </c>
      <c r="H7" s="86">
        <f t="shared" si="1"/>
        <v>223694.20084208273</v>
      </c>
      <c r="I7" s="62">
        <v>97645.6183450633</v>
      </c>
      <c r="J7" s="61">
        <f t="shared" si="6"/>
        <v>332505.18633014435</v>
      </c>
      <c r="K7" s="58">
        <f t="shared" si="7"/>
        <v>226177</v>
      </c>
      <c r="L7" s="58">
        <f t="shared" si="8"/>
        <v>180941.6</v>
      </c>
      <c r="M7" s="58">
        <f aca="true" t="shared" si="10" ref="M7:M70">J7-L7</f>
        <v>151563.58633014435</v>
      </c>
      <c r="N7" s="55">
        <f t="shared" si="2"/>
        <v>0.6775481248936842</v>
      </c>
      <c r="O7" s="58"/>
      <c r="P7" s="21"/>
      <c r="Q7" s="21"/>
      <c r="R7" s="21"/>
      <c r="S7" s="59">
        <f t="shared" si="3"/>
        <v>0</v>
      </c>
      <c r="T7" s="65">
        <f t="shared" si="4"/>
        <v>234859.56798508106</v>
      </c>
      <c r="U7" s="64">
        <f t="shared" si="5"/>
        <v>0.007607511897723461</v>
      </c>
      <c r="V7" s="58">
        <f>IF(U7&gt;0.000000001,U7*$S$104,0)</f>
        <v>4424.502803919498</v>
      </c>
      <c r="W7" s="37">
        <f>C7*Allocations!$B$9</f>
        <v>243057.6347800603</v>
      </c>
      <c r="X7" s="62">
        <f t="shared" si="9"/>
        <v>164186.15592904307</v>
      </c>
      <c r="Y7" s="40"/>
      <c r="Z7" s="37"/>
      <c r="AA7" s="40"/>
      <c r="AB7" s="37"/>
      <c r="AC7" s="18"/>
      <c r="AD7" s="37"/>
      <c r="AE7" s="96">
        <v>226177</v>
      </c>
      <c r="AF7" s="86">
        <v>180941.6</v>
      </c>
      <c r="AG7" s="96"/>
      <c r="AH7" s="86"/>
      <c r="AI7" s="18"/>
      <c r="AJ7" s="37"/>
      <c r="AK7" s="96"/>
      <c r="AL7" s="86"/>
      <c r="AM7" s="18"/>
      <c r="AN7" s="37"/>
      <c r="AO7" s="18"/>
      <c r="AP7" s="37"/>
      <c r="AQ7" s="18"/>
      <c r="AR7" s="37"/>
      <c r="AS7" s="18"/>
      <c r="AT7" s="37"/>
      <c r="AU7" s="20"/>
      <c r="AV7" s="73"/>
    </row>
    <row r="8" spans="1:48" ht="12.75">
      <c r="A8" s="16" t="s">
        <v>5</v>
      </c>
      <c r="B8" s="17">
        <v>4</v>
      </c>
      <c r="C8" s="90">
        <v>0.007329385246921842</v>
      </c>
      <c r="D8" s="111">
        <v>268348.90720602835</v>
      </c>
      <c r="E8" s="37">
        <v>244709.58848360757</v>
      </c>
      <c r="F8" s="85">
        <f>C8*Allocations!$B$6</f>
        <v>234540.32790149894</v>
      </c>
      <c r="G8" s="85">
        <f t="shared" si="0"/>
        <v>747598.8235911349</v>
      </c>
      <c r="H8" s="86">
        <f t="shared" si="1"/>
        <v>249199.60786371163</v>
      </c>
      <c r="I8" s="62">
        <v>131637.05851517097</v>
      </c>
      <c r="J8" s="61">
        <f t="shared" si="6"/>
        <v>366177.38641666993</v>
      </c>
      <c r="K8" s="58">
        <f t="shared" si="7"/>
        <v>682728.95</v>
      </c>
      <c r="L8" s="58">
        <f t="shared" si="8"/>
        <v>546183.16</v>
      </c>
      <c r="M8" s="58">
        <f t="shared" si="10"/>
        <v>-180005.7735833301</v>
      </c>
      <c r="N8" s="55">
        <f t="shared" si="2"/>
        <v>-0.722335701594587</v>
      </c>
      <c r="O8" s="58"/>
      <c r="P8" s="21"/>
      <c r="Q8" s="21"/>
      <c r="R8" s="21"/>
      <c r="S8" s="59">
        <f t="shared" si="3"/>
        <v>0</v>
      </c>
      <c r="T8" s="65">
        <f t="shared" si="4"/>
        <v>234540.32790149894</v>
      </c>
      <c r="U8" s="64">
        <f t="shared" si="5"/>
        <v>0.007597171153444158</v>
      </c>
      <c r="V8" s="58">
        <f aca="true" t="shared" si="11" ref="V8:V71">IF(U8&gt;0.000000001,U8*$S$104,0)</f>
        <v>4418.488662545354</v>
      </c>
      <c r="W8" s="37">
        <f>C8*Allocations!$B$9</f>
        <v>242727.25122231065</v>
      </c>
      <c r="X8" s="62">
        <f t="shared" si="9"/>
        <v>-167400.3615999731</v>
      </c>
      <c r="Y8" s="40"/>
      <c r="Z8" s="37"/>
      <c r="AA8" s="40"/>
      <c r="AB8" s="37"/>
      <c r="AC8" s="18"/>
      <c r="AD8" s="37"/>
      <c r="AE8" s="97"/>
      <c r="AF8" s="36"/>
      <c r="AG8" s="135"/>
      <c r="AH8" s="86"/>
      <c r="AI8" s="18"/>
      <c r="AJ8" s="37"/>
      <c r="AL8" s="146"/>
      <c r="AM8" s="96">
        <v>389835.03</v>
      </c>
      <c r="AN8" s="86">
        <v>311868.02</v>
      </c>
      <c r="AO8" s="18"/>
      <c r="AP8" s="37"/>
      <c r="AQ8" s="96">
        <v>292893.92</v>
      </c>
      <c r="AR8" s="86">
        <v>234315.14</v>
      </c>
      <c r="AS8" s="18"/>
      <c r="AT8" s="37"/>
      <c r="AU8" s="20"/>
      <c r="AV8" s="73"/>
    </row>
    <row r="9" spans="1:48" ht="12.75">
      <c r="A9" s="22" t="s">
        <v>6</v>
      </c>
      <c r="B9" s="23">
        <v>5</v>
      </c>
      <c r="C9" s="91">
        <v>0.008560317691538</v>
      </c>
      <c r="D9" s="112">
        <v>295692.98383974086</v>
      </c>
      <c r="E9" s="38">
        <v>278717.2950623854</v>
      </c>
      <c r="F9" s="87">
        <f>C9*Allocations!$B$6</f>
        <v>273930.166129216</v>
      </c>
      <c r="G9" s="87">
        <f t="shared" si="0"/>
        <v>848340.4450313423</v>
      </c>
      <c r="H9" s="88">
        <f t="shared" si="1"/>
        <v>282780.1483437808</v>
      </c>
      <c r="I9" s="105">
        <v>340561.4393377318</v>
      </c>
      <c r="J9" s="92">
        <f t="shared" si="6"/>
        <v>614491.6054669479</v>
      </c>
      <c r="K9" s="60">
        <f t="shared" si="7"/>
        <v>311338</v>
      </c>
      <c r="L9" s="60">
        <f t="shared" si="8"/>
        <v>249070.4</v>
      </c>
      <c r="M9" s="60">
        <f t="shared" si="10"/>
        <v>365421.20546694787</v>
      </c>
      <c r="N9" s="56">
        <f t="shared" si="2"/>
        <v>1.2922449033540322</v>
      </c>
      <c r="O9" s="60"/>
      <c r="P9" s="25"/>
      <c r="Q9" s="25"/>
      <c r="R9" s="25"/>
      <c r="S9" s="41">
        <f t="shared" si="3"/>
        <v>0</v>
      </c>
      <c r="T9" s="66">
        <f t="shared" si="4"/>
        <v>273930.166129216</v>
      </c>
      <c r="U9" s="67">
        <f t="shared" si="5"/>
        <v>0.008873076859724754</v>
      </c>
      <c r="V9" s="60">
        <f t="shared" si="11"/>
        <v>5160.551041266669</v>
      </c>
      <c r="W9" s="38">
        <f>C9*Allocations!$B$9</f>
        <v>283492.0409906639</v>
      </c>
      <c r="X9" s="106">
        <f t="shared" si="9"/>
        <v>380143.6313696624</v>
      </c>
      <c r="Y9" s="109">
        <v>311338</v>
      </c>
      <c r="Z9" s="88">
        <v>249070.4</v>
      </c>
      <c r="AA9" s="41"/>
      <c r="AB9" s="38"/>
      <c r="AC9" s="26"/>
      <c r="AD9" s="38"/>
      <c r="AE9" s="98"/>
      <c r="AF9" s="99"/>
      <c r="AG9" s="101"/>
      <c r="AH9" s="88"/>
      <c r="AI9" s="26"/>
      <c r="AJ9" s="38"/>
      <c r="AK9" s="26"/>
      <c r="AL9" s="38"/>
      <c r="AM9" s="26"/>
      <c r="AN9" s="38"/>
      <c r="AO9" s="26"/>
      <c r="AP9" s="38"/>
      <c r="AQ9" s="26"/>
      <c r="AR9" s="38"/>
      <c r="AS9" s="26"/>
      <c r="AT9" s="38"/>
      <c r="AU9" s="24"/>
      <c r="AV9" s="74"/>
    </row>
    <row r="10" spans="1:54" ht="12.75">
      <c r="A10" s="27" t="s">
        <v>7</v>
      </c>
      <c r="B10" s="17">
        <v>6</v>
      </c>
      <c r="C10" s="90">
        <v>0.01942572880346146</v>
      </c>
      <c r="D10" s="111">
        <v>583047.7426547832</v>
      </c>
      <c r="E10" s="37">
        <v>554848.8727931745</v>
      </c>
      <c r="F10" s="85">
        <f>C10*Allocations!$B$6</f>
        <v>621623.3217107668</v>
      </c>
      <c r="G10" s="85">
        <f t="shared" si="0"/>
        <v>1759519.9371587243</v>
      </c>
      <c r="H10" s="86">
        <f t="shared" si="1"/>
        <v>586506.6457195748</v>
      </c>
      <c r="I10" s="62">
        <v>2213900.199468148</v>
      </c>
      <c r="J10" s="61">
        <f t="shared" si="6"/>
        <v>2835523.5211789147</v>
      </c>
      <c r="K10" s="58">
        <f t="shared" si="7"/>
        <v>1044650.7</v>
      </c>
      <c r="L10" s="58">
        <f t="shared" si="8"/>
        <v>559763.72</v>
      </c>
      <c r="M10" s="58">
        <f t="shared" si="10"/>
        <v>2275759.8011789145</v>
      </c>
      <c r="N10" s="55">
        <f t="shared" si="2"/>
        <v>3.880194398116026</v>
      </c>
      <c r="O10" s="58"/>
      <c r="P10" s="21"/>
      <c r="Q10" s="21">
        <v>662790</v>
      </c>
      <c r="R10" s="21">
        <f>Q10*0.8</f>
        <v>530232</v>
      </c>
      <c r="S10" s="59">
        <f>IF(((M10-G10)-(P10+R10))&gt;0,((M10-G10)-(P10+R10)),0)</f>
        <v>0</v>
      </c>
      <c r="T10" s="65">
        <f t="shared" si="4"/>
        <v>621623.3217107668</v>
      </c>
      <c r="U10" s="64">
        <f t="shared" si="5"/>
        <v>0.02013546587174782</v>
      </c>
      <c r="V10" s="58">
        <f t="shared" si="11"/>
        <v>11710.717828050127</v>
      </c>
      <c r="W10" s="37">
        <f>C10*Allocations!$B$9</f>
        <v>643321.8607842332</v>
      </c>
      <c r="X10" s="62">
        <f t="shared" si="9"/>
        <v>2309169.058080431</v>
      </c>
      <c r="Y10" s="150">
        <v>689892.1</v>
      </c>
      <c r="Z10" s="151">
        <f>551913.68/2</f>
        <v>275956.84</v>
      </c>
      <c r="AA10" s="128">
        <v>354758.6</v>
      </c>
      <c r="AB10" s="119">
        <v>283806.88</v>
      </c>
      <c r="AC10" s="18"/>
      <c r="AD10" s="37"/>
      <c r="AE10" s="97"/>
      <c r="AF10" s="36"/>
      <c r="AG10" s="96"/>
      <c r="AH10" s="86"/>
      <c r="AI10" s="96"/>
      <c r="AJ10" s="86"/>
      <c r="AK10" s="18"/>
      <c r="AL10" s="37"/>
      <c r="AM10" s="18"/>
      <c r="AN10" s="37"/>
      <c r="AO10" s="18"/>
      <c r="AP10" s="37"/>
      <c r="AQ10" s="18"/>
      <c r="AR10" s="37"/>
      <c r="AS10" s="18"/>
      <c r="AT10" s="37"/>
      <c r="AU10" s="20"/>
      <c r="AV10" s="73"/>
      <c r="AW10" s="152" t="s">
        <v>154</v>
      </c>
      <c r="AX10" s="127"/>
      <c r="AY10" s="127"/>
      <c r="AZ10" s="127"/>
      <c r="BA10" s="127"/>
      <c r="BB10" s="127"/>
    </row>
    <row r="11" spans="1:48" ht="12.75">
      <c r="A11" s="27" t="s">
        <v>8</v>
      </c>
      <c r="B11" s="17">
        <v>7</v>
      </c>
      <c r="C11" s="90">
        <v>0.012417621722794798</v>
      </c>
      <c r="D11" s="111">
        <v>493460.59376393975</v>
      </c>
      <c r="E11" s="37">
        <v>461700.39447152184</v>
      </c>
      <c r="F11" s="85">
        <f>C11*Allocations!$B$6</f>
        <v>397363.89512943354</v>
      </c>
      <c r="G11" s="85">
        <f t="shared" si="0"/>
        <v>1352524.8833648951</v>
      </c>
      <c r="H11" s="86">
        <f t="shared" si="1"/>
        <v>450841.62778829836</v>
      </c>
      <c r="I11" s="62">
        <v>858783.3910038772</v>
      </c>
      <c r="J11" s="61">
        <f t="shared" si="6"/>
        <v>1256147.2861333108</v>
      </c>
      <c r="K11" s="58">
        <f t="shared" si="7"/>
        <v>791133.06</v>
      </c>
      <c r="L11" s="58">
        <f t="shared" si="8"/>
        <v>632906.45</v>
      </c>
      <c r="M11" s="58">
        <f t="shared" si="10"/>
        <v>623240.8361333108</v>
      </c>
      <c r="N11" s="55">
        <f t="shared" si="2"/>
        <v>1.3823941661970174</v>
      </c>
      <c r="O11" s="58"/>
      <c r="P11" s="21"/>
      <c r="Q11" s="21"/>
      <c r="R11" s="21"/>
      <c r="S11" s="59">
        <f t="shared" si="3"/>
        <v>0</v>
      </c>
      <c r="T11" s="65">
        <f t="shared" si="4"/>
        <v>397363.89512943354</v>
      </c>
      <c r="U11" s="64">
        <f t="shared" si="5"/>
        <v>0.012871311081160337</v>
      </c>
      <c r="V11" s="58">
        <f t="shared" si="11"/>
        <v>7485.910338931704</v>
      </c>
      <c r="W11" s="37">
        <f>C11*Allocations!$B$9</f>
        <v>411234.37859379535</v>
      </c>
      <c r="X11" s="62">
        <f t="shared" si="9"/>
        <v>644597.2299366043</v>
      </c>
      <c r="Y11" s="40"/>
      <c r="Z11" s="37"/>
      <c r="AA11" s="40"/>
      <c r="AB11" s="37"/>
      <c r="AC11" s="18"/>
      <c r="AD11" s="37"/>
      <c r="AE11" s="97"/>
      <c r="AF11" s="36"/>
      <c r="AG11" s="96">
        <v>262603.8</v>
      </c>
      <c r="AH11" s="86">
        <v>210083.04</v>
      </c>
      <c r="AI11" s="18"/>
      <c r="AJ11" s="37"/>
      <c r="AK11" s="18"/>
      <c r="AL11" s="37"/>
      <c r="AM11" s="96"/>
      <c r="AN11" s="86"/>
      <c r="AO11" s="18"/>
      <c r="AP11" s="37"/>
      <c r="AQ11" s="96">
        <v>528529.26</v>
      </c>
      <c r="AR11" s="86">
        <v>422823.41</v>
      </c>
      <c r="AS11" s="18"/>
      <c r="AT11" s="37"/>
      <c r="AU11" s="20"/>
      <c r="AV11" s="73"/>
    </row>
    <row r="12" spans="1:49" ht="12.75">
      <c r="A12" s="27" t="s">
        <v>9</v>
      </c>
      <c r="B12" s="17">
        <v>8</v>
      </c>
      <c r="C12" s="90">
        <v>0.00830243595139825</v>
      </c>
      <c r="D12" s="111">
        <v>384528.7887191494</v>
      </c>
      <c r="E12" s="37">
        <v>285349.12435914314</v>
      </c>
      <c r="F12" s="85">
        <f>C12*Allocations!$B$6</f>
        <v>265677.950444744</v>
      </c>
      <c r="G12" s="85">
        <f t="shared" si="0"/>
        <v>935555.8635230365</v>
      </c>
      <c r="H12" s="86">
        <f t="shared" si="1"/>
        <v>311851.9545076788</v>
      </c>
      <c r="I12" s="62">
        <v>807761.5378709289</v>
      </c>
      <c r="J12" s="61">
        <f t="shared" si="6"/>
        <v>1073439.4883156728</v>
      </c>
      <c r="K12" s="58">
        <f t="shared" si="7"/>
        <v>102438.5</v>
      </c>
      <c r="L12" s="58">
        <f t="shared" si="8"/>
        <v>81950.8</v>
      </c>
      <c r="M12" s="58">
        <f t="shared" si="10"/>
        <v>991488.6883156728</v>
      </c>
      <c r="N12" s="55">
        <f t="shared" si="2"/>
        <v>3.1793569800803</v>
      </c>
      <c r="O12" s="58"/>
      <c r="P12" s="21"/>
      <c r="Q12" s="21"/>
      <c r="R12" s="21"/>
      <c r="S12" s="147">
        <v>0</v>
      </c>
      <c r="T12" s="65">
        <f>IF(S12&gt;0,0,F12)</f>
        <v>265677.950444744</v>
      </c>
      <c r="U12" s="64">
        <f t="shared" si="5"/>
        <v>0.008605773170372021</v>
      </c>
      <c r="V12" s="58">
        <f t="shared" si="11"/>
        <v>5005.088133164862</v>
      </c>
      <c r="W12" s="37">
        <f>C12*Allocations!$B$9</f>
        <v>274951.77140245587</v>
      </c>
      <c r="X12" s="62">
        <f t="shared" si="9"/>
        <v>1005767.5974065496</v>
      </c>
      <c r="Y12" s="40"/>
      <c r="Z12" s="37"/>
      <c r="AA12" s="40"/>
      <c r="AB12" s="37"/>
      <c r="AC12" s="18"/>
      <c r="AD12" s="37"/>
      <c r="AE12" s="97"/>
      <c r="AF12" s="36"/>
      <c r="AG12" s="96"/>
      <c r="AH12" s="86"/>
      <c r="AI12" s="18"/>
      <c r="AJ12" s="37"/>
      <c r="AK12" s="18"/>
      <c r="AL12" s="37"/>
      <c r="AM12" s="96"/>
      <c r="AN12" s="86"/>
      <c r="AO12" s="96">
        <v>102438.5</v>
      </c>
      <c r="AP12" s="86">
        <v>81950.8</v>
      </c>
      <c r="AQ12" s="18"/>
      <c r="AR12" s="37"/>
      <c r="AS12" s="18"/>
      <c r="AT12" s="37"/>
      <c r="AU12" s="20"/>
      <c r="AV12" s="73"/>
      <c r="AW12" s="131" t="s">
        <v>152</v>
      </c>
    </row>
    <row r="13" spans="1:48" ht="12.75">
      <c r="A13" s="27" t="s">
        <v>10</v>
      </c>
      <c r="B13" s="17">
        <v>9</v>
      </c>
      <c r="C13" s="90">
        <v>0.010006083535626957</v>
      </c>
      <c r="D13" s="111">
        <v>347873.8591864159</v>
      </c>
      <c r="E13" s="37">
        <v>325413.9681046542</v>
      </c>
      <c r="F13" s="85">
        <f>C13*Allocations!$B$6</f>
        <v>320194.6731400626</v>
      </c>
      <c r="G13" s="85">
        <f t="shared" si="0"/>
        <v>993482.5004311327</v>
      </c>
      <c r="H13" s="86">
        <f t="shared" si="1"/>
        <v>331160.83347704425</v>
      </c>
      <c r="I13" s="62">
        <v>1092017.3539063204</v>
      </c>
      <c r="J13" s="61">
        <f t="shared" si="6"/>
        <v>1412212.027046383</v>
      </c>
      <c r="K13" s="58">
        <f t="shared" si="7"/>
        <v>305467.45</v>
      </c>
      <c r="L13" s="58">
        <f t="shared" si="8"/>
        <v>244373.96</v>
      </c>
      <c r="M13" s="58">
        <f t="shared" si="10"/>
        <v>1167838.067046383</v>
      </c>
      <c r="N13" s="55">
        <f t="shared" si="2"/>
        <v>3.5264981513199882</v>
      </c>
      <c r="O13" s="58"/>
      <c r="P13" s="21"/>
      <c r="Q13" s="21">
        <v>2405513.18</v>
      </c>
      <c r="R13" s="21">
        <v>787610.55</v>
      </c>
      <c r="S13" s="59">
        <f t="shared" si="3"/>
        <v>0</v>
      </c>
      <c r="T13" s="65">
        <f t="shared" si="4"/>
        <v>320194.6731400626</v>
      </c>
      <c r="U13" s="64">
        <f t="shared" si="5"/>
        <v>0.01037166510352874</v>
      </c>
      <c r="V13" s="58">
        <f t="shared" si="11"/>
        <v>6032.124819365617</v>
      </c>
      <c r="W13" s="37">
        <f>C13*Allocations!$B$9</f>
        <v>331371.4684493579</v>
      </c>
      <c r="X13" s="62">
        <f t="shared" si="9"/>
        <v>1185046.987175044</v>
      </c>
      <c r="Y13" s="108">
        <v>305467.45</v>
      </c>
      <c r="Z13" s="86">
        <v>244373.96</v>
      </c>
      <c r="AA13" s="108"/>
      <c r="AB13" s="86"/>
      <c r="AC13" s="18"/>
      <c r="AD13" s="37"/>
      <c r="AE13" s="97"/>
      <c r="AF13" s="36"/>
      <c r="AG13" s="96"/>
      <c r="AH13" s="86"/>
      <c r="AI13" s="18"/>
      <c r="AJ13" s="37"/>
      <c r="AK13" s="18"/>
      <c r="AL13" s="37"/>
      <c r="AM13" s="18"/>
      <c r="AN13" s="37"/>
      <c r="AO13" s="18"/>
      <c r="AP13" s="37"/>
      <c r="AQ13" s="18"/>
      <c r="AR13" s="37"/>
      <c r="AS13" s="18"/>
      <c r="AT13" s="37"/>
      <c r="AU13" s="20"/>
      <c r="AV13" s="73"/>
    </row>
    <row r="14" spans="1:48" ht="12.75">
      <c r="A14" s="22" t="s">
        <v>11</v>
      </c>
      <c r="B14" s="23">
        <v>10</v>
      </c>
      <c r="C14" s="91">
        <v>0.011147479056039388</v>
      </c>
      <c r="D14" s="112">
        <v>376080.62102456077</v>
      </c>
      <c r="E14" s="38">
        <v>369752.5236696014</v>
      </c>
      <c r="F14" s="87">
        <f>C14*Allocations!$B$6</f>
        <v>356719.32979326043</v>
      </c>
      <c r="G14" s="87">
        <f t="shared" si="0"/>
        <v>1102552.4744874225</v>
      </c>
      <c r="H14" s="88">
        <f t="shared" si="1"/>
        <v>367517.4914958075</v>
      </c>
      <c r="I14" s="105">
        <v>-170081.65810785932</v>
      </c>
      <c r="J14" s="92">
        <f t="shared" si="6"/>
        <v>186637.67168540112</v>
      </c>
      <c r="K14" s="60">
        <f t="shared" si="7"/>
        <v>1304162.67</v>
      </c>
      <c r="L14" s="60">
        <f t="shared" si="8"/>
        <v>849989.764</v>
      </c>
      <c r="M14" s="60">
        <f t="shared" si="10"/>
        <v>-663352.0923145988</v>
      </c>
      <c r="N14" s="56">
        <f t="shared" si="2"/>
        <v>-1.8049537985654382</v>
      </c>
      <c r="O14" s="60"/>
      <c r="P14" s="25"/>
      <c r="Q14" s="25"/>
      <c r="R14" s="25"/>
      <c r="S14" s="41">
        <f t="shared" si="3"/>
        <v>0</v>
      </c>
      <c r="T14" s="66">
        <f t="shared" si="4"/>
        <v>356719.32979326043</v>
      </c>
      <c r="U14" s="67">
        <f t="shared" si="5"/>
        <v>0.01155476257080807</v>
      </c>
      <c r="V14" s="60">
        <f t="shared" si="11"/>
        <v>6720.210244884821</v>
      </c>
      <c r="W14" s="38">
        <f>C14*Allocations!$B$9</f>
        <v>369171.0638988564</v>
      </c>
      <c r="X14" s="106">
        <f t="shared" si="9"/>
        <v>-644180.147964118</v>
      </c>
      <c r="Y14" s="41"/>
      <c r="Z14" s="38"/>
      <c r="AA14" s="41"/>
      <c r="AB14" s="38"/>
      <c r="AC14" s="26"/>
      <c r="AD14" s="38"/>
      <c r="AE14" s="98"/>
      <c r="AF14" s="99"/>
      <c r="AG14" s="101">
        <v>714986.33</v>
      </c>
      <c r="AH14" s="88">
        <v>571989.064</v>
      </c>
      <c r="AI14" s="101">
        <v>304272.35</v>
      </c>
      <c r="AJ14" s="88">
        <v>243417.88</v>
      </c>
      <c r="AK14" s="26"/>
      <c r="AL14" s="38"/>
      <c r="AM14" s="26"/>
      <c r="AN14" s="38"/>
      <c r="AO14" s="26"/>
      <c r="AP14" s="38"/>
      <c r="AQ14" s="26"/>
      <c r="AR14" s="38"/>
      <c r="AS14" s="101">
        <v>284903.99</v>
      </c>
      <c r="AT14" s="88">
        <v>34582.82</v>
      </c>
      <c r="AU14" s="24"/>
      <c r="AV14" s="74"/>
    </row>
    <row r="15" spans="1:48" ht="12.75">
      <c r="A15" s="27" t="s">
        <v>12</v>
      </c>
      <c r="B15" s="17">
        <v>11</v>
      </c>
      <c r="C15" s="90">
        <v>0.005072239893164623</v>
      </c>
      <c r="D15" s="111">
        <v>165692.22593608013</v>
      </c>
      <c r="E15" s="37">
        <v>153163.5352794852</v>
      </c>
      <c r="F15" s="85">
        <f>C15*Allocations!$B$6</f>
        <v>162311.67658126794</v>
      </c>
      <c r="G15" s="85">
        <f t="shared" si="0"/>
        <v>481167.4377968332</v>
      </c>
      <c r="H15" s="86">
        <f t="shared" si="1"/>
        <v>160389.14593227775</v>
      </c>
      <c r="I15" s="62">
        <v>157772.86025501997</v>
      </c>
      <c r="J15" s="61">
        <f t="shared" si="6"/>
        <v>320084.53683628794</v>
      </c>
      <c r="K15" s="58">
        <f t="shared" si="7"/>
        <v>456192.31</v>
      </c>
      <c r="L15" s="58">
        <f t="shared" si="8"/>
        <v>364953.85</v>
      </c>
      <c r="M15" s="58">
        <f t="shared" si="10"/>
        <v>-44869.31316371204</v>
      </c>
      <c r="N15" s="55">
        <f t="shared" si="2"/>
        <v>-0.2797528031146043</v>
      </c>
      <c r="O15" s="58"/>
      <c r="P15" s="21"/>
      <c r="Q15" s="21"/>
      <c r="R15" s="21"/>
      <c r="S15" s="59">
        <f t="shared" si="3"/>
        <v>0</v>
      </c>
      <c r="T15" s="65">
        <f t="shared" si="4"/>
        <v>162311.67658126794</v>
      </c>
      <c r="U15" s="64">
        <f t="shared" si="5"/>
        <v>0.005257558894981342</v>
      </c>
      <c r="V15" s="58">
        <f t="shared" si="11"/>
        <v>3057.7782046687294</v>
      </c>
      <c r="W15" s="37">
        <f>C15*Allocations!$B$9</f>
        <v>167977.3685419328</v>
      </c>
      <c r="X15" s="62">
        <f t="shared" si="9"/>
        <v>-36145.84299837847</v>
      </c>
      <c r="Y15" s="108"/>
      <c r="Z15" s="86"/>
      <c r="AA15" s="40"/>
      <c r="AB15" s="37"/>
      <c r="AC15" s="18">
        <v>456192.31</v>
      </c>
      <c r="AD15" s="37">
        <v>364953.85</v>
      </c>
      <c r="AE15" s="97"/>
      <c r="AF15" s="36"/>
      <c r="AG15" s="96"/>
      <c r="AH15" s="86"/>
      <c r="AI15" s="18"/>
      <c r="AJ15" s="37"/>
      <c r="AK15" s="18"/>
      <c r="AL15" s="37"/>
      <c r="AM15" s="18"/>
      <c r="AN15" s="37"/>
      <c r="AO15" s="18"/>
      <c r="AP15" s="37"/>
      <c r="AQ15" s="18"/>
      <c r="AR15" s="37"/>
      <c r="AS15" s="18"/>
      <c r="AT15" s="37"/>
      <c r="AU15" s="20"/>
      <c r="AV15" s="73"/>
    </row>
    <row r="16" spans="1:48" ht="12.75">
      <c r="A16" s="27" t="s">
        <v>13</v>
      </c>
      <c r="B16" s="17">
        <v>12</v>
      </c>
      <c r="C16" s="90">
        <v>0.015181202093639696</v>
      </c>
      <c r="D16" s="111">
        <v>507660.6361724065</v>
      </c>
      <c r="E16" s="37">
        <v>463204.86416117515</v>
      </c>
      <c r="F16" s="85">
        <f>C16*Allocations!$B$6</f>
        <v>485798.4669964703</v>
      </c>
      <c r="G16" s="85">
        <f t="shared" si="0"/>
        <v>1456663.9673300518</v>
      </c>
      <c r="H16" s="86">
        <f t="shared" si="1"/>
        <v>485554.65577668394</v>
      </c>
      <c r="I16" s="62">
        <v>541547.9779661325</v>
      </c>
      <c r="J16" s="61">
        <f t="shared" si="6"/>
        <v>1027346.4449626028</v>
      </c>
      <c r="K16" s="58">
        <f t="shared" si="7"/>
        <v>945669.52</v>
      </c>
      <c r="L16" s="58">
        <f t="shared" si="8"/>
        <v>189133.9</v>
      </c>
      <c r="M16" s="58">
        <f t="shared" si="10"/>
        <v>838212.5449626028</v>
      </c>
      <c r="N16" s="55">
        <f t="shared" si="2"/>
        <v>1.7262990581808222</v>
      </c>
      <c r="O16" s="58"/>
      <c r="P16" s="21"/>
      <c r="Q16" s="21"/>
      <c r="R16" s="21"/>
      <c r="S16" s="59">
        <f t="shared" si="3"/>
        <v>0</v>
      </c>
      <c r="T16" s="65">
        <f t="shared" si="4"/>
        <v>485798.4669964703</v>
      </c>
      <c r="U16" s="64">
        <f t="shared" si="5"/>
        <v>0.01573586143105836</v>
      </c>
      <c r="V16" s="58">
        <f t="shared" si="11"/>
        <v>9151.922988729219</v>
      </c>
      <c r="W16" s="37">
        <f>C16*Allocations!$B$9</f>
        <v>502755.86973506585</v>
      </c>
      <c r="X16" s="62">
        <f t="shared" si="9"/>
        <v>864321.8706899275</v>
      </c>
      <c r="Y16" s="40"/>
      <c r="Z16" s="37"/>
      <c r="AA16" s="108">
        <v>945669.52</v>
      </c>
      <c r="AB16" s="86">
        <v>189133.9</v>
      </c>
      <c r="AC16" s="18"/>
      <c r="AD16" s="37"/>
      <c r="AE16" s="97"/>
      <c r="AF16" s="36"/>
      <c r="AG16" s="96"/>
      <c r="AH16" s="86"/>
      <c r="AI16" s="18"/>
      <c r="AJ16" s="37"/>
      <c r="AK16" s="18"/>
      <c r="AL16" s="37"/>
      <c r="AM16" s="18"/>
      <c r="AN16" s="37"/>
      <c r="AO16" s="96"/>
      <c r="AP16" s="86"/>
      <c r="AQ16" s="18"/>
      <c r="AR16" s="37"/>
      <c r="AS16" s="18"/>
      <c r="AT16" s="37"/>
      <c r="AU16" s="20"/>
      <c r="AV16" s="73"/>
    </row>
    <row r="17" spans="1:48" ht="12.75">
      <c r="A17" s="27" t="s">
        <v>14</v>
      </c>
      <c r="B17" s="17">
        <v>13</v>
      </c>
      <c r="C17" s="90">
        <v>0.003921612699975905</v>
      </c>
      <c r="D17" s="111">
        <v>159700.16192156918</v>
      </c>
      <c r="E17" s="37">
        <v>163369.04622549113</v>
      </c>
      <c r="F17" s="85">
        <f>C17*Allocations!$B$6</f>
        <v>125491.60639922896</v>
      </c>
      <c r="G17" s="85">
        <f t="shared" si="0"/>
        <v>448560.8145462893</v>
      </c>
      <c r="H17" s="86">
        <f t="shared" si="1"/>
        <v>149520.27151542975</v>
      </c>
      <c r="I17" s="62">
        <v>385367.1348743148</v>
      </c>
      <c r="J17" s="61">
        <f>F17+I17</f>
        <v>510858.7412735438</v>
      </c>
      <c r="K17" s="58">
        <f t="shared" si="7"/>
        <v>0</v>
      </c>
      <c r="L17" s="58">
        <f t="shared" si="8"/>
        <v>0</v>
      </c>
      <c r="M17" s="58">
        <f>J17-L17</f>
        <v>510858.7412735438</v>
      </c>
      <c r="N17" s="55">
        <f t="shared" si="2"/>
        <v>3.4166520438723635</v>
      </c>
      <c r="O17" s="58"/>
      <c r="P17" s="21"/>
      <c r="Q17" s="21"/>
      <c r="R17" s="21"/>
      <c r="S17" s="59">
        <f t="shared" si="3"/>
        <v>62297.926727254526</v>
      </c>
      <c r="T17" s="65">
        <f t="shared" si="4"/>
        <v>0</v>
      </c>
      <c r="U17" s="64">
        <f t="shared" si="5"/>
        <v>0</v>
      </c>
      <c r="V17" s="58">
        <f t="shared" si="11"/>
        <v>0</v>
      </c>
      <c r="W17" s="37">
        <f>C17*Allocations!$B$9</f>
        <v>129872.04778510204</v>
      </c>
      <c r="X17" s="62">
        <f t="shared" si="9"/>
        <v>452941.25593216234</v>
      </c>
      <c r="Y17" s="40"/>
      <c r="Z17" s="37"/>
      <c r="AA17" s="40"/>
      <c r="AB17" s="37"/>
      <c r="AC17" s="18"/>
      <c r="AD17" s="37"/>
      <c r="AE17" s="97"/>
      <c r="AF17" s="36"/>
      <c r="AG17" s="96"/>
      <c r="AH17" s="86"/>
      <c r="AI17" s="18"/>
      <c r="AJ17" s="37"/>
      <c r="AK17" s="18"/>
      <c r="AL17" s="37"/>
      <c r="AM17" s="18"/>
      <c r="AN17" s="37"/>
      <c r="AO17" s="18"/>
      <c r="AP17" s="37"/>
      <c r="AQ17" s="96"/>
      <c r="AR17" s="86"/>
      <c r="AS17" s="18"/>
      <c r="AT17" s="37"/>
      <c r="AU17" s="20"/>
      <c r="AV17" s="73"/>
    </row>
    <row r="18" spans="1:48" ht="12.75">
      <c r="A18" s="27" t="s">
        <v>15</v>
      </c>
      <c r="B18" s="17">
        <v>14</v>
      </c>
      <c r="C18" s="90">
        <v>0.007496166528545425</v>
      </c>
      <c r="D18" s="111">
        <v>309372.33546224085</v>
      </c>
      <c r="E18" s="37">
        <v>291198.02184368</v>
      </c>
      <c r="F18" s="85">
        <f>C18*Allocations!$B$6</f>
        <v>239877.3289134536</v>
      </c>
      <c r="G18" s="85">
        <f t="shared" si="0"/>
        <v>840447.6862193745</v>
      </c>
      <c r="H18" s="86">
        <f t="shared" si="1"/>
        <v>280149.2287397915</v>
      </c>
      <c r="I18" s="62">
        <v>-73598.89178431034</v>
      </c>
      <c r="J18" s="61">
        <f t="shared" si="6"/>
        <v>166278.43712914325</v>
      </c>
      <c r="K18" s="58">
        <f t="shared" si="7"/>
        <v>429300.86</v>
      </c>
      <c r="L18" s="58">
        <f t="shared" si="8"/>
        <v>343440.69</v>
      </c>
      <c r="M18" s="58">
        <f t="shared" si="10"/>
        <v>-177162.25287085676</v>
      </c>
      <c r="N18" s="55">
        <f t="shared" si="2"/>
        <v>-0.6323852957503902</v>
      </c>
      <c r="O18" s="58"/>
      <c r="P18" s="21"/>
      <c r="Q18" s="21"/>
      <c r="R18" s="21"/>
      <c r="S18" s="59">
        <f t="shared" si="3"/>
        <v>0</v>
      </c>
      <c r="T18" s="65">
        <f t="shared" si="4"/>
        <v>239877.3289134536</v>
      </c>
      <c r="U18" s="64">
        <f t="shared" si="5"/>
        <v>0.007770045944302951</v>
      </c>
      <c r="V18" s="58">
        <f t="shared" si="11"/>
        <v>4519.032047447665</v>
      </c>
      <c r="W18" s="37">
        <f>C18*Allocations!$B$9</f>
        <v>248250.54692583883</v>
      </c>
      <c r="X18" s="62">
        <f t="shared" si="9"/>
        <v>-164270.00281102382</v>
      </c>
      <c r="Y18" s="40"/>
      <c r="Z18" s="37"/>
      <c r="AA18" s="40"/>
      <c r="AB18" s="37"/>
      <c r="AC18" s="18"/>
      <c r="AD18" s="37"/>
      <c r="AE18" s="97"/>
      <c r="AF18" s="36"/>
      <c r="AG18" s="96"/>
      <c r="AH18" s="86"/>
      <c r="AI18" s="96">
        <v>208011.06</v>
      </c>
      <c r="AJ18" s="86">
        <v>166408.85</v>
      </c>
      <c r="AK18" s="96"/>
      <c r="AL18" s="86"/>
      <c r="AM18" s="96">
        <v>221289.8</v>
      </c>
      <c r="AN18" s="86">
        <v>177031.84</v>
      </c>
      <c r="AO18" s="18"/>
      <c r="AP18" s="37"/>
      <c r="AQ18" s="18"/>
      <c r="AR18" s="37"/>
      <c r="AS18" s="18"/>
      <c r="AT18" s="37"/>
      <c r="AU18" s="20"/>
      <c r="AV18" s="73"/>
    </row>
    <row r="19" spans="1:48" ht="12.75">
      <c r="A19" s="22" t="s">
        <v>16</v>
      </c>
      <c r="B19" s="23">
        <v>15</v>
      </c>
      <c r="C19" s="91">
        <v>0.014534124540748851</v>
      </c>
      <c r="D19" s="112">
        <v>423662.4064964281</v>
      </c>
      <c r="E19" s="38">
        <v>402841.52740165766</v>
      </c>
      <c r="F19" s="87">
        <f>C19*Allocations!$B$6</f>
        <v>465091.98530396324</v>
      </c>
      <c r="G19" s="87">
        <f t="shared" si="0"/>
        <v>1291595.919202049</v>
      </c>
      <c r="H19" s="88">
        <f t="shared" si="1"/>
        <v>430531.9730673497</v>
      </c>
      <c r="I19" s="105">
        <v>851861.3374004669</v>
      </c>
      <c r="J19" s="92">
        <f t="shared" si="6"/>
        <v>1316953.3227044302</v>
      </c>
      <c r="K19" s="60">
        <f t="shared" si="7"/>
        <v>963825.75</v>
      </c>
      <c r="L19" s="60">
        <f t="shared" si="8"/>
        <v>771060.6</v>
      </c>
      <c r="M19" s="60">
        <f t="shared" si="10"/>
        <v>545892.7227044302</v>
      </c>
      <c r="N19" s="56">
        <f>M19/H19</f>
        <v>1.2679493205003713</v>
      </c>
      <c r="O19" s="60"/>
      <c r="P19" s="25"/>
      <c r="Q19" s="25"/>
      <c r="R19" s="25"/>
      <c r="S19" s="41">
        <f t="shared" si="3"/>
        <v>0</v>
      </c>
      <c r="T19" s="66">
        <f t="shared" si="4"/>
        <v>465091.98530396324</v>
      </c>
      <c r="U19" s="67">
        <f t="shared" si="5"/>
        <v>0.015065142297973066</v>
      </c>
      <c r="V19" s="60">
        <f t="shared" si="11"/>
        <v>8761.83504343578</v>
      </c>
      <c r="W19" s="38">
        <f>C19*Allocations!$B$9</f>
        <v>481326.6024159797</v>
      </c>
      <c r="X19" s="106">
        <f t="shared" si="9"/>
        <v>570889.1748598824</v>
      </c>
      <c r="Y19" s="41"/>
      <c r="Z19" s="38"/>
      <c r="AA19" s="41"/>
      <c r="AB19" s="38"/>
      <c r="AC19" s="101">
        <v>963825.75</v>
      </c>
      <c r="AD19" s="88">
        <v>771060.6</v>
      </c>
      <c r="AE19" s="98"/>
      <c r="AF19" s="99"/>
      <c r="AG19" s="101"/>
      <c r="AH19" s="88"/>
      <c r="AI19" s="26"/>
      <c r="AJ19" s="38"/>
      <c r="AK19" s="26"/>
      <c r="AL19" s="38"/>
      <c r="AM19" s="26"/>
      <c r="AN19" s="38"/>
      <c r="AO19" s="26"/>
      <c r="AP19" s="38"/>
      <c r="AQ19" s="26"/>
      <c r="AR19" s="38"/>
      <c r="AS19" s="26"/>
      <c r="AT19" s="38"/>
      <c r="AU19" s="24"/>
      <c r="AV19" s="74"/>
    </row>
    <row r="20" spans="1:48" ht="12.75">
      <c r="A20" s="27" t="s">
        <v>17</v>
      </c>
      <c r="B20" s="17">
        <v>16</v>
      </c>
      <c r="C20" s="90">
        <v>0.01567862275341817</v>
      </c>
      <c r="D20" s="111">
        <v>505285.04093356134</v>
      </c>
      <c r="E20" s="37">
        <v>464468.6284460015</v>
      </c>
      <c r="F20" s="85">
        <f>C20*Allocations!$B$6</f>
        <v>501715.92810938146</v>
      </c>
      <c r="G20" s="85">
        <f t="shared" si="0"/>
        <v>1471469.5974889444</v>
      </c>
      <c r="H20" s="86">
        <f t="shared" si="1"/>
        <v>490489.86582964816</v>
      </c>
      <c r="I20" s="62">
        <v>-531291.9630212437</v>
      </c>
      <c r="J20" s="61">
        <f t="shared" si="6"/>
        <v>-29576.034911862225</v>
      </c>
      <c r="K20" s="58">
        <f t="shared" si="7"/>
        <v>0</v>
      </c>
      <c r="L20" s="58">
        <f t="shared" si="8"/>
        <v>0</v>
      </c>
      <c r="M20" s="58">
        <f t="shared" si="10"/>
        <v>-29576.034911862225</v>
      </c>
      <c r="N20" s="55">
        <f t="shared" si="2"/>
        <v>-0.060298972460593646</v>
      </c>
      <c r="O20" s="58"/>
      <c r="P20" s="21"/>
      <c r="Q20" s="21"/>
      <c r="R20" s="21"/>
      <c r="S20" s="59">
        <f t="shared" si="3"/>
        <v>0</v>
      </c>
      <c r="T20" s="65">
        <f t="shared" si="4"/>
        <v>501715.92810938146</v>
      </c>
      <c r="U20" s="64">
        <f t="shared" si="5"/>
        <v>0.016251455817256476</v>
      </c>
      <c r="V20" s="58">
        <f t="shared" si="11"/>
        <v>9451.790913760184</v>
      </c>
      <c r="W20" s="37">
        <f>C20*Allocations!$B$9</f>
        <v>519228.9497249496</v>
      </c>
      <c r="X20" s="62">
        <f t="shared" si="9"/>
        <v>-2611.222382533888</v>
      </c>
      <c r="Y20" s="40"/>
      <c r="Z20" s="37"/>
      <c r="AA20" s="40"/>
      <c r="AB20" s="37"/>
      <c r="AC20" s="96"/>
      <c r="AD20" s="86"/>
      <c r="AE20" s="96"/>
      <c r="AF20" s="86"/>
      <c r="AG20" s="96"/>
      <c r="AH20" s="86"/>
      <c r="AI20" s="96"/>
      <c r="AJ20" s="86"/>
      <c r="AK20" s="18"/>
      <c r="AL20" s="37"/>
      <c r="AM20" s="18"/>
      <c r="AN20" s="37"/>
      <c r="AO20" s="18"/>
      <c r="AP20" s="37"/>
      <c r="AQ20" s="18"/>
      <c r="AR20" s="37"/>
      <c r="AS20" s="18"/>
      <c r="AT20" s="37"/>
      <c r="AU20" s="20"/>
      <c r="AV20" s="73"/>
    </row>
    <row r="21" spans="1:48" ht="12.75">
      <c r="A21" s="27" t="s">
        <v>18</v>
      </c>
      <c r="B21" s="17">
        <v>17</v>
      </c>
      <c r="C21" s="90">
        <v>0.007499359674189141</v>
      </c>
      <c r="D21" s="111">
        <v>278921.29315666325</v>
      </c>
      <c r="E21" s="37">
        <v>250830.45767961795</v>
      </c>
      <c r="F21" s="85">
        <f>C21*Allocations!$B$6</f>
        <v>239979.5095740525</v>
      </c>
      <c r="G21" s="85">
        <f t="shared" si="0"/>
        <v>769731.2604103338</v>
      </c>
      <c r="H21" s="86">
        <f t="shared" si="1"/>
        <v>256577.08680344457</v>
      </c>
      <c r="I21" s="62">
        <v>248936.11391009056</v>
      </c>
      <c r="J21" s="61">
        <f t="shared" si="6"/>
        <v>488915.62348414306</v>
      </c>
      <c r="K21" s="58">
        <f t="shared" si="7"/>
        <v>396622.6</v>
      </c>
      <c r="L21" s="58">
        <f t="shared" si="8"/>
        <v>317298.08</v>
      </c>
      <c r="M21" s="58">
        <f t="shared" si="10"/>
        <v>171617.54348414304</v>
      </c>
      <c r="N21" s="55">
        <f t="shared" si="2"/>
        <v>0.6688732248940596</v>
      </c>
      <c r="O21" s="58"/>
      <c r="P21" s="21"/>
      <c r="Q21" s="21"/>
      <c r="R21" s="21"/>
      <c r="S21" s="59">
        <f t="shared" si="3"/>
        <v>0</v>
      </c>
      <c r="T21" s="65">
        <f t="shared" si="4"/>
        <v>239979.5095740525</v>
      </c>
      <c r="U21" s="64">
        <f t="shared" si="5"/>
        <v>0.007773355754492471</v>
      </c>
      <c r="V21" s="58">
        <f t="shared" si="11"/>
        <v>4520.957021691656</v>
      </c>
      <c r="W21" s="37">
        <f>C21*Allocations!$B$9</f>
        <v>248356.29433012177</v>
      </c>
      <c r="X21" s="62">
        <f t="shared" si="9"/>
        <v>184515.28526190398</v>
      </c>
      <c r="Y21" s="40"/>
      <c r="Z21" s="37"/>
      <c r="AA21" s="40"/>
      <c r="AB21" s="37"/>
      <c r="AC21" s="13"/>
      <c r="AD21" s="49"/>
      <c r="AE21" s="97"/>
      <c r="AF21" s="36"/>
      <c r="AG21" s="96"/>
      <c r="AH21" s="86"/>
      <c r="AI21" s="118"/>
      <c r="AJ21" s="119"/>
      <c r="AK21" s="18"/>
      <c r="AL21" s="37"/>
      <c r="AM21" s="18"/>
      <c r="AN21" s="37"/>
      <c r="AO21" s="96">
        <v>396622.6</v>
      </c>
      <c r="AP21" s="86">
        <v>317298.08</v>
      </c>
      <c r="AQ21" s="18"/>
      <c r="AR21" s="37"/>
      <c r="AS21" s="18"/>
      <c r="AT21" s="37"/>
      <c r="AU21" s="20"/>
      <c r="AV21" s="73"/>
    </row>
    <row r="22" spans="1:48" ht="12.75">
      <c r="A22" s="27" t="s">
        <v>19</v>
      </c>
      <c r="B22" s="17">
        <v>18</v>
      </c>
      <c r="C22" s="90">
        <v>0.011118049252299436</v>
      </c>
      <c r="D22" s="111">
        <v>312454.01405098994</v>
      </c>
      <c r="E22" s="37">
        <v>300659.5279761817</v>
      </c>
      <c r="F22" s="85">
        <f>C22*Allocations!$B$6</f>
        <v>355777.57607358193</v>
      </c>
      <c r="G22" s="85">
        <f t="shared" si="0"/>
        <v>968891.1181007536</v>
      </c>
      <c r="H22" s="86">
        <f t="shared" si="1"/>
        <v>322963.70603358455</v>
      </c>
      <c r="I22" s="62">
        <v>129901.54165490967</v>
      </c>
      <c r="J22" s="61">
        <f t="shared" si="6"/>
        <v>485679.1177284916</v>
      </c>
      <c r="K22" s="58">
        <f t="shared" si="7"/>
        <v>479933.2</v>
      </c>
      <c r="L22" s="58">
        <f t="shared" si="8"/>
        <v>383946.56</v>
      </c>
      <c r="M22" s="58">
        <f t="shared" si="10"/>
        <v>101732.5577284916</v>
      </c>
      <c r="N22" s="55">
        <f t="shared" si="2"/>
        <v>0.31499687372894025</v>
      </c>
      <c r="O22" s="58"/>
      <c r="P22" s="21"/>
      <c r="Q22" s="21"/>
      <c r="R22" s="21"/>
      <c r="S22" s="59">
        <f t="shared" si="3"/>
        <v>0</v>
      </c>
      <c r="T22" s="65">
        <f t="shared" si="4"/>
        <v>355777.57607358193</v>
      </c>
      <c r="U22" s="64">
        <f t="shared" si="5"/>
        <v>0.011524257521817967</v>
      </c>
      <c r="V22" s="58">
        <f t="shared" si="11"/>
        <v>6702.468613112835</v>
      </c>
      <c r="W22" s="37">
        <f>C22*Allocations!$B$9</f>
        <v>368196.4370884004</v>
      </c>
      <c r="X22" s="62">
        <f t="shared" si="9"/>
        <v>120853.88735642293</v>
      </c>
      <c r="Y22" s="40"/>
      <c r="Z22" s="37"/>
      <c r="AA22" s="108"/>
      <c r="AB22" s="86"/>
      <c r="AC22" s="116"/>
      <c r="AD22" s="117"/>
      <c r="AE22" s="97"/>
      <c r="AF22" s="36"/>
      <c r="AG22" s="96">
        <v>479933.2</v>
      </c>
      <c r="AH22" s="86">
        <v>383946.56</v>
      </c>
      <c r="AI22" s="18"/>
      <c r="AJ22" s="37"/>
      <c r="AK22" s="18"/>
      <c r="AL22" s="37"/>
      <c r="AM22" s="18"/>
      <c r="AN22" s="37"/>
      <c r="AO22" s="18"/>
      <c r="AP22" s="37"/>
      <c r="AQ22" s="96"/>
      <c r="AR22" s="86"/>
      <c r="AS22" s="18"/>
      <c r="AT22" s="37"/>
      <c r="AU22" s="20"/>
      <c r="AV22" s="73"/>
    </row>
    <row r="23" spans="1:48" ht="12.75">
      <c r="A23" s="27" t="s">
        <v>20</v>
      </c>
      <c r="B23" s="17">
        <v>19</v>
      </c>
      <c r="C23" s="90">
        <v>0.009435920281340592</v>
      </c>
      <c r="D23" s="111">
        <v>289686.9052970291</v>
      </c>
      <c r="E23" s="37">
        <v>270779.1949137666</v>
      </c>
      <c r="F23" s="85">
        <f>C23*Allocations!$B$6</f>
        <v>301949.44900289894</v>
      </c>
      <c r="G23" s="85">
        <f t="shared" si="0"/>
        <v>862415.5492136946</v>
      </c>
      <c r="H23" s="86">
        <f t="shared" si="1"/>
        <v>287471.8497378982</v>
      </c>
      <c r="I23" s="62">
        <v>-759983.4586675155</v>
      </c>
      <c r="J23" s="61">
        <f t="shared" si="6"/>
        <v>-458034.0096646166</v>
      </c>
      <c r="K23" s="58">
        <f t="shared" si="7"/>
        <v>1258898.77</v>
      </c>
      <c r="L23" s="58">
        <f t="shared" si="8"/>
        <v>1007119.02</v>
      </c>
      <c r="M23" s="58">
        <f t="shared" si="10"/>
        <v>-1465153.0296646166</v>
      </c>
      <c r="N23" s="55">
        <f t="shared" si="2"/>
        <v>-5.096683487445698</v>
      </c>
      <c r="O23" s="58"/>
      <c r="P23" s="21"/>
      <c r="Q23" s="21"/>
      <c r="R23" s="21"/>
      <c r="S23" s="59">
        <f t="shared" si="3"/>
        <v>0</v>
      </c>
      <c r="T23" s="65">
        <f t="shared" si="4"/>
        <v>301949.44900289894</v>
      </c>
      <c r="U23" s="64">
        <f t="shared" si="5"/>
        <v>0.009780670404479814</v>
      </c>
      <c r="V23" s="58">
        <f t="shared" si="11"/>
        <v>5688.4043312220465</v>
      </c>
      <c r="W23" s="37">
        <f>C23*Allocations!$B$9</f>
        <v>312489.3719571564</v>
      </c>
      <c r="X23" s="62">
        <f t="shared" si="9"/>
        <v>-1448924.7023791373</v>
      </c>
      <c r="Y23" s="40"/>
      <c r="Z23" s="37"/>
      <c r="AA23" s="40"/>
      <c r="AB23" s="37"/>
      <c r="AC23" s="18"/>
      <c r="AD23" s="37"/>
      <c r="AE23" s="97"/>
      <c r="AF23" s="36"/>
      <c r="AG23" s="96"/>
      <c r="AH23" s="86"/>
      <c r="AI23" s="18"/>
      <c r="AJ23" s="37"/>
      <c r="AK23" s="18"/>
      <c r="AL23" s="37"/>
      <c r="AM23" s="18"/>
      <c r="AN23" s="37"/>
      <c r="AO23" s="18"/>
      <c r="AP23" s="37"/>
      <c r="AQ23" s="96"/>
      <c r="AR23" s="86"/>
      <c r="AS23" s="18"/>
      <c r="AT23" s="37"/>
      <c r="AU23" s="122">
        <v>1258898.77</v>
      </c>
      <c r="AV23" s="123">
        <v>1007119.02</v>
      </c>
    </row>
    <row r="24" spans="1:48" ht="12.75">
      <c r="A24" s="22" t="s">
        <v>21</v>
      </c>
      <c r="B24" s="23">
        <v>20</v>
      </c>
      <c r="C24" s="91">
        <v>0.005660402735335405</v>
      </c>
      <c r="D24" s="112">
        <v>191915.02122664964</v>
      </c>
      <c r="E24" s="38">
        <v>189307.80812706138</v>
      </c>
      <c r="F24" s="87">
        <f>C24*Allocations!$B$6</f>
        <v>181132.88753073296</v>
      </c>
      <c r="G24" s="87">
        <f t="shared" si="0"/>
        <v>562355.716884444</v>
      </c>
      <c r="H24" s="88">
        <f t="shared" si="1"/>
        <v>187451.905628148</v>
      </c>
      <c r="I24" s="105">
        <v>-234931.54756509382</v>
      </c>
      <c r="J24" s="92">
        <f t="shared" si="6"/>
        <v>-53798.66003436086</v>
      </c>
      <c r="K24" s="60">
        <f t="shared" si="7"/>
        <v>0</v>
      </c>
      <c r="L24" s="60">
        <f t="shared" si="8"/>
        <v>0</v>
      </c>
      <c r="M24" s="60">
        <f t="shared" si="10"/>
        <v>-53798.66003436086</v>
      </c>
      <c r="N24" s="56">
        <f t="shared" si="2"/>
        <v>-0.28699980325130603</v>
      </c>
      <c r="O24" s="60"/>
      <c r="P24" s="25"/>
      <c r="Q24" s="25"/>
      <c r="R24" s="25"/>
      <c r="S24" s="41">
        <f t="shared" si="3"/>
        <v>0</v>
      </c>
      <c r="T24" s="66">
        <f t="shared" si="4"/>
        <v>181132.88753073296</v>
      </c>
      <c r="U24" s="67">
        <f t="shared" si="5"/>
        <v>0.005867210813598146</v>
      </c>
      <c r="V24" s="60">
        <f t="shared" si="11"/>
        <v>3412.3496676646855</v>
      </c>
      <c r="W24" s="38">
        <f>C24*Allocations!$B$9</f>
        <v>187455.5573861026</v>
      </c>
      <c r="X24" s="106">
        <f t="shared" si="9"/>
        <v>-44063.64051132655</v>
      </c>
      <c r="Y24" s="41"/>
      <c r="Z24" s="38"/>
      <c r="AA24" s="41"/>
      <c r="AB24" s="38"/>
      <c r="AC24" s="26"/>
      <c r="AD24" s="38"/>
      <c r="AE24" s="98"/>
      <c r="AF24" s="99"/>
      <c r="AG24" s="101"/>
      <c r="AH24" s="88"/>
      <c r="AI24" s="26"/>
      <c r="AJ24" s="38"/>
      <c r="AK24" s="101"/>
      <c r="AL24" s="88"/>
      <c r="AM24" s="26"/>
      <c r="AN24" s="38"/>
      <c r="AO24" s="26"/>
      <c r="AP24" s="38"/>
      <c r="AQ24" s="26"/>
      <c r="AR24" s="38"/>
      <c r="AS24" s="26"/>
      <c r="AT24" s="38"/>
      <c r="AU24" s="24"/>
      <c r="AV24" s="74"/>
    </row>
    <row r="25" spans="1:48" ht="12.75">
      <c r="A25" s="27" t="s">
        <v>22</v>
      </c>
      <c r="B25" s="17">
        <v>21</v>
      </c>
      <c r="C25" s="90">
        <v>0.006647099089330932</v>
      </c>
      <c r="D25" s="111">
        <v>198082.24400368534</v>
      </c>
      <c r="E25" s="37">
        <v>213406.92036692172</v>
      </c>
      <c r="F25" s="85">
        <f>C25*Allocations!$B$6</f>
        <v>212707.17085858982</v>
      </c>
      <c r="G25" s="85">
        <f t="shared" si="0"/>
        <v>624196.3352291968</v>
      </c>
      <c r="H25" s="86">
        <f t="shared" si="1"/>
        <v>208065.44507639893</v>
      </c>
      <c r="I25" s="62">
        <v>340694.68360541307</v>
      </c>
      <c r="J25" s="61">
        <f t="shared" si="6"/>
        <v>553401.8544640029</v>
      </c>
      <c r="K25" s="58">
        <f t="shared" si="7"/>
        <v>0</v>
      </c>
      <c r="L25" s="58">
        <f t="shared" si="8"/>
        <v>0</v>
      </c>
      <c r="M25" s="58">
        <f t="shared" si="10"/>
        <v>553401.8544640029</v>
      </c>
      <c r="N25" s="55">
        <f t="shared" si="2"/>
        <v>2.6597489759090025</v>
      </c>
      <c r="O25" s="58"/>
      <c r="P25" s="21"/>
      <c r="Q25" s="21"/>
      <c r="R25" s="21"/>
      <c r="S25" s="59">
        <f t="shared" si="3"/>
        <v>0</v>
      </c>
      <c r="T25" s="65">
        <f t="shared" si="4"/>
        <v>212707.17085858982</v>
      </c>
      <c r="U25" s="64">
        <f t="shared" si="5"/>
        <v>0.00688995703654113</v>
      </c>
      <c r="V25" s="58">
        <f t="shared" si="11"/>
        <v>4007.1753599470007</v>
      </c>
      <c r="W25" s="37">
        <f>C25*Allocations!$B$9</f>
        <v>220131.98054137247</v>
      </c>
      <c r="X25" s="62">
        <f t="shared" si="9"/>
        <v>564833.8395067325</v>
      </c>
      <c r="Y25" s="40"/>
      <c r="Z25" s="37"/>
      <c r="AA25" s="40"/>
      <c r="AB25" s="37"/>
      <c r="AC25" s="18"/>
      <c r="AD25" s="37"/>
      <c r="AE25" s="97"/>
      <c r="AF25" s="36"/>
      <c r="AG25" s="96"/>
      <c r="AH25" s="86"/>
      <c r="AI25" s="18"/>
      <c r="AJ25" s="37"/>
      <c r="AK25" s="18"/>
      <c r="AL25" s="37"/>
      <c r="AM25" s="18"/>
      <c r="AN25" s="37"/>
      <c r="AO25" s="18"/>
      <c r="AP25" s="37"/>
      <c r="AQ25" s="18"/>
      <c r="AR25" s="37"/>
      <c r="AS25" s="18"/>
      <c r="AT25" s="37"/>
      <c r="AU25" s="20"/>
      <c r="AV25" s="73"/>
    </row>
    <row r="26" spans="1:48" ht="12.75">
      <c r="A26" s="27" t="s">
        <v>23</v>
      </c>
      <c r="B26" s="17">
        <v>22</v>
      </c>
      <c r="C26" s="90">
        <v>0.012590711579946458</v>
      </c>
      <c r="D26" s="111">
        <v>390525.253659974</v>
      </c>
      <c r="E26" s="37">
        <v>367771.06733765034</v>
      </c>
      <c r="F26" s="85">
        <f>C26*Allocations!$B$6</f>
        <v>402902.77055828663</v>
      </c>
      <c r="G26" s="85">
        <f t="shared" si="0"/>
        <v>1161199.091555911</v>
      </c>
      <c r="H26" s="86">
        <f t="shared" si="1"/>
        <v>387066.36385197035</v>
      </c>
      <c r="I26" s="62">
        <v>340380.8160886606</v>
      </c>
      <c r="J26" s="61">
        <f t="shared" si="6"/>
        <v>743283.5866469473</v>
      </c>
      <c r="K26" s="58">
        <f t="shared" si="7"/>
        <v>289427.3</v>
      </c>
      <c r="L26" s="58">
        <f t="shared" si="8"/>
        <v>231541.84</v>
      </c>
      <c r="M26" s="58">
        <f t="shared" si="10"/>
        <v>511741.74664694734</v>
      </c>
      <c r="N26" s="55">
        <f t="shared" si="2"/>
        <v>1.3221033766774368</v>
      </c>
      <c r="O26" s="58"/>
      <c r="P26" s="21"/>
      <c r="Q26" s="21"/>
      <c r="R26" s="21"/>
      <c r="S26" s="59">
        <f t="shared" si="3"/>
        <v>0</v>
      </c>
      <c r="T26" s="65">
        <f t="shared" si="4"/>
        <v>402902.77055828663</v>
      </c>
      <c r="U26" s="64">
        <f t="shared" si="5"/>
        <v>0.013050724937221269</v>
      </c>
      <c r="V26" s="58">
        <f t="shared" si="11"/>
        <v>7590.2568217076505</v>
      </c>
      <c r="W26" s="37">
        <f>C26*Allocations!$B$9</f>
        <v>416966.59539308684</v>
      </c>
      <c r="X26" s="62">
        <f t="shared" si="9"/>
        <v>533395.8283034551</v>
      </c>
      <c r="Y26" s="40"/>
      <c r="Z26" s="37"/>
      <c r="AA26" s="40"/>
      <c r="AB26" s="37"/>
      <c r="AC26" s="18"/>
      <c r="AD26" s="37"/>
      <c r="AE26" s="97"/>
      <c r="AF26" s="36"/>
      <c r="AG26" s="96"/>
      <c r="AH26" s="86"/>
      <c r="AI26" s="18"/>
      <c r="AJ26" s="37"/>
      <c r="AK26" s="96">
        <v>289427.3</v>
      </c>
      <c r="AL26" s="86">
        <v>231541.84</v>
      </c>
      <c r="AM26" s="18"/>
      <c r="AN26" s="37"/>
      <c r="AO26" s="18"/>
      <c r="AP26" s="37"/>
      <c r="AQ26" s="18"/>
      <c r="AR26" s="37"/>
      <c r="AS26" s="18"/>
      <c r="AT26" s="37"/>
      <c r="AU26" s="20"/>
      <c r="AV26" s="73"/>
    </row>
    <row r="27" spans="1:48" ht="12.75">
      <c r="A27" s="27" t="s">
        <v>24</v>
      </c>
      <c r="B27" s="17">
        <v>23</v>
      </c>
      <c r="C27" s="90">
        <v>0.006782327551345977</v>
      </c>
      <c r="D27" s="111">
        <v>239432.2917356603</v>
      </c>
      <c r="E27" s="37">
        <v>242429.4592831269</v>
      </c>
      <c r="F27" s="85">
        <f>C27*Allocations!$B$6</f>
        <v>217034.48164307125</v>
      </c>
      <c r="G27" s="85">
        <f t="shared" si="0"/>
        <v>698896.2326618584</v>
      </c>
      <c r="H27" s="86">
        <f t="shared" si="1"/>
        <v>232965.41088728615</v>
      </c>
      <c r="I27" s="62">
        <v>-687094.3597224314</v>
      </c>
      <c r="J27" s="61">
        <f t="shared" si="6"/>
        <v>-470059.8780793601</v>
      </c>
      <c r="K27" s="58">
        <f t="shared" si="7"/>
        <v>299487.35</v>
      </c>
      <c r="L27" s="58">
        <f t="shared" si="8"/>
        <v>239589.88</v>
      </c>
      <c r="M27" s="58">
        <f t="shared" si="10"/>
        <v>-709649.7580793601</v>
      </c>
      <c r="N27" s="55">
        <f t="shared" si="2"/>
        <v>-3.0461593220064094</v>
      </c>
      <c r="O27" s="58"/>
      <c r="P27" s="21"/>
      <c r="Q27" s="21"/>
      <c r="R27" s="21"/>
      <c r="S27" s="59">
        <f t="shared" si="3"/>
        <v>0</v>
      </c>
      <c r="T27" s="65">
        <f t="shared" si="4"/>
        <v>217034.48164307125</v>
      </c>
      <c r="U27" s="64">
        <f t="shared" si="5"/>
        <v>0.007030126196182013</v>
      </c>
      <c r="V27" s="58">
        <f t="shared" si="11"/>
        <v>4088.6972620080037</v>
      </c>
      <c r="W27" s="37">
        <f>C27*Allocations!$B$9</f>
        <v>224610.3415179247</v>
      </c>
      <c r="X27" s="62">
        <f t="shared" si="9"/>
        <v>-697985.2009424987</v>
      </c>
      <c r="Y27" s="40"/>
      <c r="Z27" s="37"/>
      <c r="AA27" s="40"/>
      <c r="AB27" s="37"/>
      <c r="AC27" s="18"/>
      <c r="AD27" s="37"/>
      <c r="AE27" s="96">
        <v>299487.35</v>
      </c>
      <c r="AF27" s="86">
        <v>239589.88</v>
      </c>
      <c r="AG27" s="96"/>
      <c r="AH27" s="86"/>
      <c r="AI27" s="18"/>
      <c r="AJ27" s="37"/>
      <c r="AK27" s="96"/>
      <c r="AL27" s="86"/>
      <c r="AM27" s="18"/>
      <c r="AN27" s="37"/>
      <c r="AO27" s="18"/>
      <c r="AP27" s="37"/>
      <c r="AQ27" s="18"/>
      <c r="AR27" s="37"/>
      <c r="AS27" s="18"/>
      <c r="AT27" s="37"/>
      <c r="AU27" s="20"/>
      <c r="AV27" s="73"/>
    </row>
    <row r="28" spans="1:48" ht="12.75">
      <c r="A28" s="27" t="s">
        <v>25</v>
      </c>
      <c r="B28" s="17">
        <v>24</v>
      </c>
      <c r="C28" s="90">
        <v>0.011596924427477466</v>
      </c>
      <c r="D28" s="111">
        <v>414198.40965481155</v>
      </c>
      <c r="E28" s="37">
        <v>374245.76742979785</v>
      </c>
      <c r="F28" s="85">
        <f>C28*Allocations!$B$6</f>
        <v>371101.5816792789</v>
      </c>
      <c r="G28" s="85">
        <f t="shared" si="0"/>
        <v>1159545.7587638884</v>
      </c>
      <c r="H28" s="86">
        <f t="shared" si="1"/>
        <v>386515.2529212961</v>
      </c>
      <c r="I28" s="62">
        <v>-1455504.023084281</v>
      </c>
      <c r="J28" s="61">
        <f t="shared" si="6"/>
        <v>-1084402.441405002</v>
      </c>
      <c r="K28" s="58">
        <f t="shared" si="7"/>
        <v>0</v>
      </c>
      <c r="L28" s="58">
        <f t="shared" si="8"/>
        <v>0</v>
      </c>
      <c r="M28" s="58">
        <f t="shared" si="10"/>
        <v>-1084402.441405002</v>
      </c>
      <c r="N28" s="55">
        <f t="shared" si="2"/>
        <v>-2.8055877050363462</v>
      </c>
      <c r="O28" s="58"/>
      <c r="P28" s="21"/>
      <c r="Q28" s="21"/>
      <c r="R28" s="21"/>
      <c r="S28" s="59">
        <f t="shared" si="3"/>
        <v>0</v>
      </c>
      <c r="T28" s="65">
        <f t="shared" si="4"/>
        <v>371101.5816792789</v>
      </c>
      <c r="U28" s="64">
        <f t="shared" si="5"/>
        <v>0.01202062884688796</v>
      </c>
      <c r="V28" s="58">
        <f t="shared" si="11"/>
        <v>6991.156471782451</v>
      </c>
      <c r="W28" s="37">
        <f>C28*Allocations!$B$9</f>
        <v>384055.34626477124</v>
      </c>
      <c r="X28" s="62">
        <f t="shared" si="9"/>
        <v>-1064457.5203477275</v>
      </c>
      <c r="Y28" s="40"/>
      <c r="Z28" s="37"/>
      <c r="AA28" s="40"/>
      <c r="AB28" s="37"/>
      <c r="AC28" s="96"/>
      <c r="AD28" s="86"/>
      <c r="AE28" s="97"/>
      <c r="AF28" s="36"/>
      <c r="AG28" s="96"/>
      <c r="AH28" s="86"/>
      <c r="AI28" s="96"/>
      <c r="AJ28" s="86"/>
      <c r="AK28" s="18"/>
      <c r="AL28" s="37"/>
      <c r="AM28" s="18"/>
      <c r="AN28" s="37"/>
      <c r="AO28" s="18"/>
      <c r="AP28" s="37"/>
      <c r="AQ28" s="18"/>
      <c r="AR28" s="37"/>
      <c r="AS28" s="18"/>
      <c r="AT28" s="37"/>
      <c r="AU28" s="20"/>
      <c r="AV28" s="73"/>
    </row>
    <row r="29" spans="1:48" ht="12.75">
      <c r="A29" s="22" t="s">
        <v>26</v>
      </c>
      <c r="B29" s="23">
        <v>25</v>
      </c>
      <c r="C29" s="91">
        <v>0.008439981570891479</v>
      </c>
      <c r="D29" s="112">
        <v>303141.16440690064</v>
      </c>
      <c r="E29" s="38">
        <v>289052.0845160608</v>
      </c>
      <c r="F29" s="87">
        <f>C29*Allocations!$B$6</f>
        <v>270079.41026852734</v>
      </c>
      <c r="G29" s="87">
        <f t="shared" si="0"/>
        <v>862272.6591914888</v>
      </c>
      <c r="H29" s="88">
        <f t="shared" si="1"/>
        <v>287424.21973049623</v>
      </c>
      <c r="I29" s="105">
        <v>-1221137.6921865032</v>
      </c>
      <c r="J29" s="92">
        <f t="shared" si="6"/>
        <v>-951058.2819179759</v>
      </c>
      <c r="K29" s="60">
        <f t="shared" si="7"/>
        <v>0</v>
      </c>
      <c r="L29" s="60">
        <f t="shared" si="8"/>
        <v>0</v>
      </c>
      <c r="M29" s="60">
        <f t="shared" si="10"/>
        <v>-951058.2819179759</v>
      </c>
      <c r="N29" s="56">
        <f t="shared" si="2"/>
        <v>-3.308900978524834</v>
      </c>
      <c r="O29" s="60"/>
      <c r="P29" s="25"/>
      <c r="Q29" s="25"/>
      <c r="R29" s="25"/>
      <c r="S29" s="41">
        <f t="shared" si="3"/>
        <v>0</v>
      </c>
      <c r="T29" s="66">
        <f t="shared" si="4"/>
        <v>270079.41026852734</v>
      </c>
      <c r="U29" s="67">
        <f t="shared" si="5"/>
        <v>0.008748344146994573</v>
      </c>
      <c r="V29" s="60">
        <f t="shared" si="11"/>
        <v>5088.006923737215</v>
      </c>
      <c r="W29" s="38">
        <f>C29*Allocations!$B$9</f>
        <v>279506.8696832131</v>
      </c>
      <c r="X29" s="106">
        <f t="shared" si="9"/>
        <v>-936542.8155795529</v>
      </c>
      <c r="Y29" s="41"/>
      <c r="Z29" s="38"/>
      <c r="AA29" s="41"/>
      <c r="AB29" s="38"/>
      <c r="AC29" s="26"/>
      <c r="AD29" s="38"/>
      <c r="AE29" s="98"/>
      <c r="AF29" s="99"/>
      <c r="AG29" s="101"/>
      <c r="AH29" s="88"/>
      <c r="AI29" s="101"/>
      <c r="AJ29" s="88"/>
      <c r="AK29" s="26"/>
      <c r="AL29" s="38"/>
      <c r="AM29" s="26"/>
      <c r="AN29" s="38"/>
      <c r="AO29" s="26"/>
      <c r="AP29" s="38"/>
      <c r="AQ29" s="26"/>
      <c r="AR29" s="38"/>
      <c r="AS29" s="26"/>
      <c r="AT29" s="38"/>
      <c r="AU29" s="24"/>
      <c r="AV29" s="74"/>
    </row>
    <row r="30" spans="1:48" ht="12.75">
      <c r="A30" s="27" t="s">
        <v>27</v>
      </c>
      <c r="B30" s="17">
        <v>26</v>
      </c>
      <c r="C30" s="90">
        <v>0.013070680705999814</v>
      </c>
      <c r="D30" s="111">
        <v>376966.58626294247</v>
      </c>
      <c r="E30" s="37">
        <v>379843.49335270916</v>
      </c>
      <c r="F30" s="85">
        <f>C30*Allocations!$B$6</f>
        <v>418261.78259199404</v>
      </c>
      <c r="G30" s="85">
        <f t="shared" si="0"/>
        <v>1175071.8622076456</v>
      </c>
      <c r="H30" s="86">
        <f t="shared" si="1"/>
        <v>391690.62073588185</v>
      </c>
      <c r="I30" s="62">
        <v>1259059.8034164314</v>
      </c>
      <c r="J30" s="61">
        <f t="shared" si="6"/>
        <v>1677321.5860084253</v>
      </c>
      <c r="K30" s="58">
        <f t="shared" si="7"/>
        <v>377427.18</v>
      </c>
      <c r="L30" s="58">
        <f t="shared" si="8"/>
        <v>301941.75</v>
      </c>
      <c r="M30" s="58">
        <f t="shared" si="10"/>
        <v>1375379.8360084253</v>
      </c>
      <c r="N30" s="55">
        <f t="shared" si="2"/>
        <v>3.511393337487772</v>
      </c>
      <c r="O30" s="58">
        <v>380510.03</v>
      </c>
      <c r="P30" s="21">
        <v>304408.03</v>
      </c>
      <c r="Q30" s="21"/>
      <c r="R30" s="21"/>
      <c r="S30" s="59">
        <f t="shared" si="3"/>
        <v>0</v>
      </c>
      <c r="T30" s="65">
        <f t="shared" si="4"/>
        <v>418261.78259199404</v>
      </c>
      <c r="U30" s="64">
        <f t="shared" si="5"/>
        <v>0.013548230181679222</v>
      </c>
      <c r="V30" s="58">
        <f t="shared" si="11"/>
        <v>7879.604164000678</v>
      </c>
      <c r="W30" s="37">
        <f>C30*Allocations!$B$9</f>
        <v>432861.73294059583</v>
      </c>
      <c r="X30" s="62">
        <f t="shared" si="9"/>
        <v>1397859.390521028</v>
      </c>
      <c r="Y30" s="40"/>
      <c r="Z30" s="37"/>
      <c r="AA30" s="108">
        <v>275167.81</v>
      </c>
      <c r="AB30" s="86">
        <v>220134.25</v>
      </c>
      <c r="AC30" s="18"/>
      <c r="AD30" s="37"/>
      <c r="AE30" s="97"/>
      <c r="AF30" s="36"/>
      <c r="AG30" s="96"/>
      <c r="AH30" s="86"/>
      <c r="AI30" s="96"/>
      <c r="AJ30" s="86"/>
      <c r="AK30" s="18"/>
      <c r="AL30" s="37"/>
      <c r="AM30" s="18"/>
      <c r="AN30" s="37"/>
      <c r="AO30" s="18"/>
      <c r="AP30" s="37"/>
      <c r="AQ30" s="18"/>
      <c r="AR30" s="37"/>
      <c r="AS30" s="96">
        <v>102259.37</v>
      </c>
      <c r="AT30" s="86">
        <v>81807.5</v>
      </c>
      <c r="AU30" s="20"/>
      <c r="AV30" s="73"/>
    </row>
    <row r="31" spans="1:48" ht="12.75">
      <c r="A31" s="27" t="s">
        <v>28</v>
      </c>
      <c r="B31" s="17">
        <v>27</v>
      </c>
      <c r="C31" s="90">
        <v>0.007018228600406525</v>
      </c>
      <c r="D31" s="111">
        <v>213821.22535939666</v>
      </c>
      <c r="E31" s="37">
        <v>221148.91330985457</v>
      </c>
      <c r="F31" s="85">
        <f>C31*Allocations!$B$6</f>
        <v>224583.3152130088</v>
      </c>
      <c r="G31" s="85">
        <f t="shared" si="0"/>
        <v>659553.45388226</v>
      </c>
      <c r="H31" s="86">
        <f t="shared" si="1"/>
        <v>219851.15129408668</v>
      </c>
      <c r="I31" s="62">
        <v>551264.299477082</v>
      </c>
      <c r="J31" s="61">
        <f t="shared" si="6"/>
        <v>775847.6146900908</v>
      </c>
      <c r="K31" s="58">
        <f t="shared" si="7"/>
        <v>442689.34</v>
      </c>
      <c r="L31" s="58">
        <f t="shared" si="8"/>
        <v>354151.47</v>
      </c>
      <c r="M31" s="58">
        <f t="shared" si="10"/>
        <v>421696.1446900908</v>
      </c>
      <c r="N31" s="55">
        <f t="shared" si="2"/>
        <v>1.9180984143494595</v>
      </c>
      <c r="O31" s="58"/>
      <c r="P31" s="21"/>
      <c r="Q31" s="21"/>
      <c r="R31" s="21"/>
      <c r="S31" s="59">
        <f t="shared" si="3"/>
        <v>0</v>
      </c>
      <c r="T31" s="65">
        <f t="shared" si="4"/>
        <v>224583.3152130088</v>
      </c>
      <c r="U31" s="64">
        <f t="shared" si="5"/>
        <v>0.007274646109464328</v>
      </c>
      <c r="V31" s="58">
        <f t="shared" si="11"/>
        <v>4230.909204161589</v>
      </c>
      <c r="W31" s="37">
        <f>C31*Allocations!$B$9</f>
        <v>232422.6765596629</v>
      </c>
      <c r="X31" s="62">
        <f t="shared" si="9"/>
        <v>433766.4152409065</v>
      </c>
      <c r="Y31" s="40"/>
      <c r="Z31" s="37"/>
      <c r="AA31" s="40"/>
      <c r="AB31" s="37"/>
      <c r="AC31" s="18"/>
      <c r="AD31" s="37"/>
      <c r="AE31" s="97"/>
      <c r="AF31" s="36"/>
      <c r="AG31" s="96"/>
      <c r="AH31" s="86"/>
      <c r="AI31" s="96">
        <v>442689.34</v>
      </c>
      <c r="AJ31" s="86">
        <v>354151.47</v>
      </c>
      <c r="AK31" s="18"/>
      <c r="AL31" s="37"/>
      <c r="AM31" s="18"/>
      <c r="AN31" s="37"/>
      <c r="AO31" s="18"/>
      <c r="AP31" s="37"/>
      <c r="AQ31" s="18"/>
      <c r="AR31" s="37"/>
      <c r="AS31" s="18"/>
      <c r="AT31" s="37"/>
      <c r="AU31" s="20"/>
      <c r="AV31" s="73"/>
    </row>
    <row r="32" spans="1:48" ht="12.75">
      <c r="A32" s="27" t="s">
        <v>29</v>
      </c>
      <c r="B32" s="17">
        <v>28</v>
      </c>
      <c r="C32" s="90">
        <v>0.007436654294751333</v>
      </c>
      <c r="D32" s="111">
        <v>283384.01449965156</v>
      </c>
      <c r="E32" s="37">
        <v>272696.1112883928</v>
      </c>
      <c r="F32" s="85">
        <f>C32*Allocations!$B$6</f>
        <v>237972.93743204264</v>
      </c>
      <c r="G32" s="85">
        <f t="shared" si="0"/>
        <v>794053.0632200871</v>
      </c>
      <c r="H32" s="86">
        <f t="shared" si="1"/>
        <v>264684.3544066957</v>
      </c>
      <c r="I32" s="62">
        <v>-801077.8666837142</v>
      </c>
      <c r="J32" s="61">
        <f t="shared" si="6"/>
        <v>-563104.9292516715</v>
      </c>
      <c r="K32" s="58">
        <f t="shared" si="7"/>
        <v>440587.70999999996</v>
      </c>
      <c r="L32" s="58">
        <f t="shared" si="8"/>
        <v>352470.17000000004</v>
      </c>
      <c r="M32" s="58">
        <f t="shared" si="10"/>
        <v>-915575.0992516716</v>
      </c>
      <c r="N32" s="55">
        <f t="shared" si="2"/>
        <v>-3.459120586496254</v>
      </c>
      <c r="O32" s="58"/>
      <c r="P32" s="21"/>
      <c r="Q32" s="21"/>
      <c r="R32" s="21"/>
      <c r="S32" s="59">
        <f t="shared" si="3"/>
        <v>0</v>
      </c>
      <c r="T32" s="65">
        <f t="shared" si="4"/>
        <v>237972.93743204264</v>
      </c>
      <c r="U32" s="64">
        <f t="shared" si="5"/>
        <v>0.007708359375699208</v>
      </c>
      <c r="V32" s="58">
        <f t="shared" si="11"/>
        <v>4483.155350911297</v>
      </c>
      <c r="W32" s="37">
        <f>C32*Allocations!$B$9</f>
        <v>246279.68027927988</v>
      </c>
      <c r="X32" s="62">
        <f t="shared" si="9"/>
        <v>-902785.2010535232</v>
      </c>
      <c r="Y32" s="40"/>
      <c r="Z32" s="37"/>
      <c r="AA32" s="40"/>
      <c r="AB32" s="37"/>
      <c r="AC32" s="18"/>
      <c r="AD32" s="37"/>
      <c r="AE32" s="97"/>
      <c r="AF32" s="100"/>
      <c r="AG32" s="96">
        <v>185169.31</v>
      </c>
      <c r="AH32" s="86">
        <v>148135.45</v>
      </c>
      <c r="AI32" s="96">
        <v>255418.4</v>
      </c>
      <c r="AJ32" s="86">
        <v>204334.72</v>
      </c>
      <c r="AK32" s="96"/>
      <c r="AL32" s="86"/>
      <c r="AM32" s="18"/>
      <c r="AN32" s="37"/>
      <c r="AO32" s="18"/>
      <c r="AP32" s="37"/>
      <c r="AQ32" s="18"/>
      <c r="AR32" s="37"/>
      <c r="AS32" s="18"/>
      <c r="AT32" s="37"/>
      <c r="AU32" s="20"/>
      <c r="AV32" s="73"/>
    </row>
    <row r="33" spans="1:48" ht="12.75">
      <c r="A33" s="27" t="s">
        <v>30</v>
      </c>
      <c r="B33" s="17">
        <v>29</v>
      </c>
      <c r="C33" s="90">
        <v>0.007135921230294388</v>
      </c>
      <c r="D33" s="111">
        <v>222861.88517290365</v>
      </c>
      <c r="E33" s="37">
        <v>203818.35181664734</v>
      </c>
      <c r="F33" s="85">
        <f>C33*Allocations!$B$6</f>
        <v>228349.4793694204</v>
      </c>
      <c r="G33" s="85">
        <f t="shared" si="0"/>
        <v>655029.7163589714</v>
      </c>
      <c r="H33" s="86">
        <f t="shared" si="1"/>
        <v>218343.2387863238</v>
      </c>
      <c r="I33" s="62">
        <v>291155.61550429295</v>
      </c>
      <c r="J33" s="61">
        <f t="shared" si="6"/>
        <v>519505.09487371333</v>
      </c>
      <c r="K33" s="58">
        <f t="shared" si="7"/>
        <v>502877.6</v>
      </c>
      <c r="L33" s="58">
        <f t="shared" si="8"/>
        <v>402302.08</v>
      </c>
      <c r="M33" s="58">
        <f t="shared" si="10"/>
        <v>117203.01487371331</v>
      </c>
      <c r="N33" s="55">
        <f t="shared" si="2"/>
        <v>0.5367833486632995</v>
      </c>
      <c r="O33" s="58"/>
      <c r="P33" s="21"/>
      <c r="Q33" s="21"/>
      <c r="R33" s="21"/>
      <c r="S33" s="59">
        <f t="shared" si="3"/>
        <v>0</v>
      </c>
      <c r="T33" s="65">
        <f t="shared" si="4"/>
        <v>228349.4793694204</v>
      </c>
      <c r="U33" s="64">
        <f t="shared" si="5"/>
        <v>0.007396638749042466</v>
      </c>
      <c r="V33" s="58">
        <f t="shared" si="11"/>
        <v>4301.8597045522</v>
      </c>
      <c r="W33" s="37">
        <f>C33*Allocations!$B$9</f>
        <v>236320.30338365922</v>
      </c>
      <c r="X33" s="62">
        <f t="shared" si="9"/>
        <v>129475.69859250436</v>
      </c>
      <c r="Y33" s="40"/>
      <c r="Z33" s="37"/>
      <c r="AA33" s="40"/>
      <c r="AB33" s="37"/>
      <c r="AC33" s="96">
        <v>502877.6</v>
      </c>
      <c r="AD33" s="86">
        <v>402302.08</v>
      </c>
      <c r="AE33" s="97"/>
      <c r="AF33" s="36"/>
      <c r="AG33" s="96"/>
      <c r="AH33" s="86"/>
      <c r="AI33" s="18"/>
      <c r="AJ33" s="37"/>
      <c r="AK33" s="18"/>
      <c r="AL33" s="37"/>
      <c r="AM33" s="18"/>
      <c r="AN33" s="37"/>
      <c r="AO33" s="18"/>
      <c r="AP33" s="37"/>
      <c r="AQ33" s="18"/>
      <c r="AR33" s="37"/>
      <c r="AS33" s="18"/>
      <c r="AT33" s="37"/>
      <c r="AU33" s="20"/>
      <c r="AV33" s="73"/>
    </row>
    <row r="34" spans="1:48" ht="12.75">
      <c r="A34" s="22" t="s">
        <v>31</v>
      </c>
      <c r="B34" s="23">
        <v>30</v>
      </c>
      <c r="C34" s="91">
        <v>0.0033240387475112743</v>
      </c>
      <c r="D34" s="112">
        <v>119047.86953513618</v>
      </c>
      <c r="E34" s="38">
        <v>93356.2095689525</v>
      </c>
      <c r="F34" s="87">
        <f>C34*Allocations!$B$6</f>
        <v>106369.23992036078</v>
      </c>
      <c r="G34" s="87">
        <f t="shared" si="0"/>
        <v>318773.31902444945</v>
      </c>
      <c r="H34" s="88">
        <f t="shared" si="1"/>
        <v>106257.77300814982</v>
      </c>
      <c r="I34" s="105">
        <v>161330.70428208768</v>
      </c>
      <c r="J34" s="92">
        <f t="shared" si="6"/>
        <v>267699.9442024485</v>
      </c>
      <c r="K34" s="60">
        <f t="shared" si="7"/>
        <v>960569.8</v>
      </c>
      <c r="L34" s="60">
        <f t="shared" si="8"/>
        <v>768455.8300000001</v>
      </c>
      <c r="M34" s="60">
        <f t="shared" si="10"/>
        <v>-500755.8857975516</v>
      </c>
      <c r="N34" s="56">
        <f t="shared" si="2"/>
        <v>-4.712651805333285</v>
      </c>
      <c r="O34" s="60"/>
      <c r="P34" s="25"/>
      <c r="Q34" s="25"/>
      <c r="R34" s="25"/>
      <c r="S34" s="41">
        <f t="shared" si="3"/>
        <v>0</v>
      </c>
      <c r="T34" s="66">
        <f t="shared" si="4"/>
        <v>106369.23992036078</v>
      </c>
      <c r="U34" s="67">
        <f t="shared" si="5"/>
        <v>0.003445485594597317</v>
      </c>
      <c r="V34" s="60">
        <f t="shared" si="11"/>
        <v>2003.8825938243992</v>
      </c>
      <c r="W34" s="38">
        <f>C34*Allocations!$B$9</f>
        <v>110082.19120133088</v>
      </c>
      <c r="X34" s="106">
        <f t="shared" si="9"/>
        <v>-495039.05192275706</v>
      </c>
      <c r="Y34" s="109">
        <v>451919.68</v>
      </c>
      <c r="Z34" s="88">
        <v>361535.74</v>
      </c>
      <c r="AA34" s="41"/>
      <c r="AB34" s="38"/>
      <c r="AC34" s="26"/>
      <c r="AD34" s="38"/>
      <c r="AE34" s="98"/>
      <c r="AF34" s="99"/>
      <c r="AG34" s="101"/>
      <c r="AH34" s="88"/>
      <c r="AI34" s="26"/>
      <c r="AJ34" s="38"/>
      <c r="AK34" s="26"/>
      <c r="AL34" s="38"/>
      <c r="AM34" s="101">
        <v>508650.12</v>
      </c>
      <c r="AN34" s="88">
        <v>406920.09</v>
      </c>
      <c r="AO34" s="26"/>
      <c r="AP34" s="38"/>
      <c r="AQ34" s="26"/>
      <c r="AR34" s="38"/>
      <c r="AS34" s="26"/>
      <c r="AT34" s="38"/>
      <c r="AU34" s="24"/>
      <c r="AV34" s="74"/>
    </row>
    <row r="35" spans="1:48" ht="12.75">
      <c r="A35" s="27" t="s">
        <v>32</v>
      </c>
      <c r="B35" s="17">
        <v>31</v>
      </c>
      <c r="C35" s="90">
        <v>0.009463309362651435</v>
      </c>
      <c r="D35" s="111">
        <v>298343.7162977542</v>
      </c>
      <c r="E35" s="37">
        <v>280917.3329082624</v>
      </c>
      <c r="F35" s="85">
        <f>C35*Allocations!$B$6</f>
        <v>302825.8996048459</v>
      </c>
      <c r="G35" s="85">
        <f t="shared" si="0"/>
        <v>882086.9488108625</v>
      </c>
      <c r="H35" s="86">
        <f t="shared" si="1"/>
        <v>294028.9829369542</v>
      </c>
      <c r="I35" s="62">
        <v>-143811.1721013476</v>
      </c>
      <c r="J35" s="61">
        <f t="shared" si="6"/>
        <v>159014.72750349832</v>
      </c>
      <c r="K35" s="58">
        <f t="shared" si="7"/>
        <v>0</v>
      </c>
      <c r="L35" s="58">
        <f t="shared" si="8"/>
        <v>0</v>
      </c>
      <c r="M35" s="58">
        <f t="shared" si="10"/>
        <v>159014.72750349832</v>
      </c>
      <c r="N35" s="55">
        <f t="shared" si="2"/>
        <v>0.5408131059569536</v>
      </c>
      <c r="O35" s="58"/>
      <c r="P35" s="21"/>
      <c r="Q35" s="21"/>
      <c r="R35" s="21"/>
      <c r="S35" s="59">
        <f t="shared" si="3"/>
        <v>0</v>
      </c>
      <c r="T35" s="65">
        <f t="shared" si="4"/>
        <v>302825.8996048459</v>
      </c>
      <c r="U35" s="64">
        <f t="shared" si="5"/>
        <v>0.009809060171348933</v>
      </c>
      <c r="V35" s="58">
        <f t="shared" si="11"/>
        <v>5704.9157221740115</v>
      </c>
      <c r="W35" s="37">
        <f>C35*Allocations!$B$9</f>
        <v>313396.4161629276</v>
      </c>
      <c r="X35" s="62">
        <f t="shared" si="9"/>
        <v>175290.159783754</v>
      </c>
      <c r="Y35" s="40"/>
      <c r="Z35" s="37"/>
      <c r="AA35" s="40"/>
      <c r="AB35" s="37"/>
      <c r="AC35" s="18"/>
      <c r="AD35" s="37"/>
      <c r="AE35" s="97"/>
      <c r="AF35" s="36"/>
      <c r="AG35" s="96"/>
      <c r="AH35" s="86"/>
      <c r="AI35" s="96"/>
      <c r="AJ35" s="86"/>
      <c r="AK35" s="18"/>
      <c r="AL35" s="37"/>
      <c r="AM35" s="18"/>
      <c r="AN35" s="37"/>
      <c r="AO35" s="18"/>
      <c r="AP35" s="37"/>
      <c r="AQ35" s="18"/>
      <c r="AR35" s="37"/>
      <c r="AS35" s="18"/>
      <c r="AT35" s="37"/>
      <c r="AU35" s="20"/>
      <c r="AV35" s="73"/>
    </row>
    <row r="36" spans="1:48" ht="12.75">
      <c r="A36" s="27" t="s">
        <v>33</v>
      </c>
      <c r="B36" s="17">
        <v>32</v>
      </c>
      <c r="C36" s="90">
        <v>0.003937456909339761</v>
      </c>
      <c r="D36" s="111">
        <v>125516.92882525806</v>
      </c>
      <c r="E36" s="37">
        <v>128323.69876912485</v>
      </c>
      <c r="F36" s="85">
        <f>C36*Allocations!$B$6</f>
        <v>125998.62109887236</v>
      </c>
      <c r="G36" s="85">
        <f t="shared" si="0"/>
        <v>379839.24869325524</v>
      </c>
      <c r="H36" s="86">
        <f t="shared" si="1"/>
        <v>126613.08289775175</v>
      </c>
      <c r="I36" s="62">
        <v>-452028.16758664156</v>
      </c>
      <c r="J36" s="61">
        <f t="shared" si="6"/>
        <v>-326029.5464877692</v>
      </c>
      <c r="K36" s="58">
        <f t="shared" si="7"/>
        <v>0</v>
      </c>
      <c r="L36" s="58">
        <f t="shared" si="8"/>
        <v>0</v>
      </c>
      <c r="M36" s="58">
        <f t="shared" si="10"/>
        <v>-326029.5464877692</v>
      </c>
      <c r="N36" s="55">
        <f t="shared" si="2"/>
        <v>-2.575006776756705</v>
      </c>
      <c r="O36" s="58"/>
      <c r="P36" s="21"/>
      <c r="Q36" s="21"/>
      <c r="R36" s="21"/>
      <c r="S36" s="59">
        <f t="shared" si="3"/>
        <v>0</v>
      </c>
      <c r="T36" s="65">
        <f t="shared" si="4"/>
        <v>125998.62109887236</v>
      </c>
      <c r="U36" s="64">
        <f t="shared" si="5"/>
        <v>0.0040813155594636484</v>
      </c>
      <c r="V36" s="58">
        <f t="shared" si="11"/>
        <v>2373.6791186525725</v>
      </c>
      <c r="W36" s="37">
        <f>C36*Allocations!$B$9</f>
        <v>130396.76046660487</v>
      </c>
      <c r="X36" s="62">
        <f t="shared" si="9"/>
        <v>-319257.72800138406</v>
      </c>
      <c r="Y36" s="40"/>
      <c r="Z36" s="37"/>
      <c r="AA36" s="40"/>
      <c r="AB36" s="37"/>
      <c r="AC36" s="18"/>
      <c r="AD36" s="37"/>
      <c r="AE36" s="97"/>
      <c r="AF36" s="36"/>
      <c r="AG36" s="96"/>
      <c r="AH36" s="86"/>
      <c r="AI36" s="18"/>
      <c r="AJ36" s="37"/>
      <c r="AK36" s="18"/>
      <c r="AL36" s="37"/>
      <c r="AM36" s="18"/>
      <c r="AN36" s="37"/>
      <c r="AO36" s="18"/>
      <c r="AP36" s="37"/>
      <c r="AQ36" s="18"/>
      <c r="AR36" s="37"/>
      <c r="AS36" s="18"/>
      <c r="AT36" s="37"/>
      <c r="AU36" s="20"/>
      <c r="AV36" s="73"/>
    </row>
    <row r="37" spans="1:48" ht="12.75">
      <c r="A37" s="27" t="s">
        <v>34</v>
      </c>
      <c r="B37" s="17">
        <v>33</v>
      </c>
      <c r="C37" s="90">
        <v>0.010130566105848247</v>
      </c>
      <c r="D37" s="111">
        <v>348029.4966410987</v>
      </c>
      <c r="E37" s="37">
        <v>332153.29922539194</v>
      </c>
      <c r="F37" s="85">
        <f>C37*Allocations!$B$6</f>
        <v>324178.1153871439</v>
      </c>
      <c r="G37" s="85">
        <f aca="true" t="shared" si="12" ref="G37:G68">SUM(D37:F37)</f>
        <v>1004360.9112536345</v>
      </c>
      <c r="H37" s="86">
        <f aca="true" t="shared" si="13" ref="H37:H68">SUM(D37:F37)/3</f>
        <v>334786.9704178782</v>
      </c>
      <c r="I37" s="62">
        <v>-365661.6568205721</v>
      </c>
      <c r="J37" s="61">
        <f t="shared" si="6"/>
        <v>-41483.54143342818</v>
      </c>
      <c r="K37" s="58">
        <f t="shared" si="7"/>
        <v>0</v>
      </c>
      <c r="L37" s="58">
        <f t="shared" si="8"/>
        <v>0</v>
      </c>
      <c r="M37" s="58">
        <f t="shared" si="10"/>
        <v>-41483.54143342818</v>
      </c>
      <c r="N37" s="55">
        <f aca="true" t="shared" si="14" ref="N37:N68">M37/H37</f>
        <v>-0.12391026264149045</v>
      </c>
      <c r="O37" s="58"/>
      <c r="P37" s="21"/>
      <c r="Q37" s="21"/>
      <c r="R37" s="21"/>
      <c r="S37" s="59">
        <f aca="true" t="shared" si="15" ref="S37:S68">IF(((M37-G37)-(P37+R37))&gt;0,((M37-G37)-(P37+R37)),0)</f>
        <v>0</v>
      </c>
      <c r="T37" s="65">
        <f aca="true" t="shared" si="16" ref="T37:T68">IF(S37&gt;0,0,F37)</f>
        <v>324178.1153871439</v>
      </c>
      <c r="U37" s="64">
        <f aca="true" t="shared" si="17" ref="U37:U68">IF(T37&gt;0.01,F37/$T$104,0)</f>
        <v>0.010500695760225215</v>
      </c>
      <c r="V37" s="58">
        <f t="shared" si="11"/>
        <v>6107.1686063514735</v>
      </c>
      <c r="W37" s="37">
        <f>C37*Allocations!$B$9</f>
        <v>335493.95772737643</v>
      </c>
      <c r="X37" s="62">
        <f t="shared" si="9"/>
        <v>-24060.53048684419</v>
      </c>
      <c r="Y37" s="40"/>
      <c r="Z37" s="37"/>
      <c r="AA37" s="40"/>
      <c r="AB37" s="37"/>
      <c r="AC37" s="18"/>
      <c r="AD37" s="37"/>
      <c r="AE37" s="97"/>
      <c r="AF37" s="36"/>
      <c r="AG37" s="96"/>
      <c r="AH37" s="86"/>
      <c r="AI37" s="18"/>
      <c r="AJ37" s="37"/>
      <c r="AK37" s="18"/>
      <c r="AL37" s="37"/>
      <c r="AM37" s="18"/>
      <c r="AN37" s="37"/>
      <c r="AO37" s="96"/>
      <c r="AP37" s="86"/>
      <c r="AQ37" s="18"/>
      <c r="AR37" s="37"/>
      <c r="AS37" s="96"/>
      <c r="AT37" s="86"/>
      <c r="AU37" s="20"/>
      <c r="AV37" s="73"/>
    </row>
    <row r="38" spans="1:48" ht="12.75">
      <c r="A38" s="27" t="s">
        <v>35</v>
      </c>
      <c r="B38" s="17">
        <v>34</v>
      </c>
      <c r="C38" s="90">
        <v>0.007326307574580998</v>
      </c>
      <c r="D38" s="111">
        <v>294354.8699454096</v>
      </c>
      <c r="E38" s="37">
        <v>285329.6286475548</v>
      </c>
      <c r="F38" s="85">
        <f>C38*Allocations!$B$6</f>
        <v>234441.84238659195</v>
      </c>
      <c r="G38" s="85">
        <f t="shared" si="12"/>
        <v>814126.3409795563</v>
      </c>
      <c r="H38" s="86">
        <f t="shared" si="13"/>
        <v>271375.44699318544</v>
      </c>
      <c r="I38" s="62">
        <v>-109564.31876941357</v>
      </c>
      <c r="J38" s="61">
        <f t="shared" si="6"/>
        <v>124877.52361717838</v>
      </c>
      <c r="K38" s="58">
        <f t="shared" si="7"/>
        <v>46690.7</v>
      </c>
      <c r="L38" s="58">
        <f t="shared" si="8"/>
        <v>37352.56</v>
      </c>
      <c r="M38" s="58">
        <f t="shared" si="10"/>
        <v>87524.96361717838</v>
      </c>
      <c r="N38" s="55">
        <f t="shared" si="14"/>
        <v>0.32252351709392574</v>
      </c>
      <c r="O38" s="58"/>
      <c r="P38" s="21"/>
      <c r="Q38" s="21"/>
      <c r="R38" s="21"/>
      <c r="S38" s="59">
        <f t="shared" si="15"/>
        <v>0</v>
      </c>
      <c r="T38" s="65">
        <f t="shared" si="16"/>
        <v>234441.84238659195</v>
      </c>
      <c r="U38" s="64">
        <f t="shared" si="17"/>
        <v>0.007593981035482024</v>
      </c>
      <c r="V38" s="58">
        <f t="shared" si="11"/>
        <v>4416.633300889919</v>
      </c>
      <c r="W38" s="37">
        <f>C38*Allocations!$B$9</f>
        <v>242625.3279473989</v>
      </c>
      <c r="X38" s="62">
        <f t="shared" si="9"/>
        <v>100125.08247887527</v>
      </c>
      <c r="Y38" s="40"/>
      <c r="Z38" s="37"/>
      <c r="AA38" s="40"/>
      <c r="AB38" s="37"/>
      <c r="AC38" s="18"/>
      <c r="AD38" s="37"/>
      <c r="AE38" s="96"/>
      <c r="AF38" s="86"/>
      <c r="AG38" s="96">
        <v>46690.7</v>
      </c>
      <c r="AH38" s="86">
        <v>37352.56</v>
      </c>
      <c r="AI38" s="18"/>
      <c r="AJ38" s="37"/>
      <c r="AK38" s="18"/>
      <c r="AL38" s="37"/>
      <c r="AM38" s="18"/>
      <c r="AN38" s="37"/>
      <c r="AO38" s="18"/>
      <c r="AP38" s="37"/>
      <c r="AQ38" s="18"/>
      <c r="AR38" s="37"/>
      <c r="AS38" s="18"/>
      <c r="AT38" s="37"/>
      <c r="AU38" s="20"/>
      <c r="AV38" s="73"/>
    </row>
    <row r="39" spans="1:48" ht="12.75">
      <c r="A39" s="22" t="s">
        <v>36</v>
      </c>
      <c r="B39" s="23">
        <v>35</v>
      </c>
      <c r="C39" s="91">
        <v>0.017648710346128874</v>
      </c>
      <c r="D39" s="112">
        <v>385659.4348779679</v>
      </c>
      <c r="E39" s="38">
        <v>437702.0392208378</v>
      </c>
      <c r="F39" s="87">
        <f>C39*Allocations!$B$6</f>
        <v>564758.731076124</v>
      </c>
      <c r="G39" s="87">
        <f t="shared" si="12"/>
        <v>1388120.20517493</v>
      </c>
      <c r="H39" s="88">
        <f t="shared" si="13"/>
        <v>462706.73505831</v>
      </c>
      <c r="I39" s="105">
        <v>871172.5775517151</v>
      </c>
      <c r="J39" s="92">
        <f t="shared" si="6"/>
        <v>1435931.3086278392</v>
      </c>
      <c r="K39" s="60">
        <f t="shared" si="7"/>
        <v>447177.65</v>
      </c>
      <c r="L39" s="60">
        <f t="shared" si="8"/>
        <v>357742.12</v>
      </c>
      <c r="M39" s="60">
        <f t="shared" si="10"/>
        <v>1078189.188627839</v>
      </c>
      <c r="N39" s="56">
        <f t="shared" si="14"/>
        <v>2.3301782899096257</v>
      </c>
      <c r="O39" s="60"/>
      <c r="P39" s="25"/>
      <c r="Q39" s="25"/>
      <c r="R39" s="25"/>
      <c r="S39" s="41">
        <f t="shared" si="15"/>
        <v>0</v>
      </c>
      <c r="T39" s="66">
        <f t="shared" si="16"/>
        <v>564758.731076124</v>
      </c>
      <c r="U39" s="67">
        <f t="shared" si="17"/>
        <v>0.01829352239240148</v>
      </c>
      <c r="V39" s="60">
        <f t="shared" si="11"/>
        <v>10639.449823662528</v>
      </c>
      <c r="W39" s="38">
        <f>C39*Allocations!$B$9</f>
        <v>584472.3405327499</v>
      </c>
      <c r="X39" s="106">
        <f t="shared" si="9"/>
        <v>1108542.2479081275</v>
      </c>
      <c r="Y39" s="41"/>
      <c r="Z39" s="38"/>
      <c r="AA39" s="41"/>
      <c r="AB39" s="38"/>
      <c r="AC39" s="26"/>
      <c r="AD39" s="38"/>
      <c r="AE39" s="98"/>
      <c r="AF39" s="99"/>
      <c r="AG39" s="101"/>
      <c r="AH39" s="88"/>
      <c r="AI39" s="26"/>
      <c r="AJ39" s="38"/>
      <c r="AK39" s="26"/>
      <c r="AL39" s="38"/>
      <c r="AM39" s="101">
        <v>253948.05</v>
      </c>
      <c r="AN39" s="88">
        <v>203158.44</v>
      </c>
      <c r="AO39" s="101">
        <v>193229.6</v>
      </c>
      <c r="AP39" s="88">
        <v>154583.68</v>
      </c>
      <c r="AQ39" s="26"/>
      <c r="AR39" s="38"/>
      <c r="AS39" s="26"/>
      <c r="AT39" s="38"/>
      <c r="AU39" s="24"/>
      <c r="AV39" s="74"/>
    </row>
    <row r="40" spans="1:48" ht="12.75">
      <c r="A40" s="27" t="s">
        <v>37</v>
      </c>
      <c r="B40" s="17">
        <v>36</v>
      </c>
      <c r="C40" s="90">
        <v>0.007452832332476288</v>
      </c>
      <c r="D40" s="111">
        <v>178803.7707565048</v>
      </c>
      <c r="E40" s="37">
        <v>206960.94094662325</v>
      </c>
      <c r="F40" s="85">
        <f>C40*Allocations!$B$6</f>
        <v>238490.6346392412</v>
      </c>
      <c r="G40" s="85">
        <f t="shared" si="12"/>
        <v>624255.3463423692</v>
      </c>
      <c r="H40" s="86">
        <f t="shared" si="13"/>
        <v>208085.1154474564</v>
      </c>
      <c r="I40" s="62">
        <v>261564.61609662054</v>
      </c>
      <c r="J40" s="61">
        <f t="shared" si="6"/>
        <v>500055.2507358617</v>
      </c>
      <c r="K40" s="58">
        <f t="shared" si="7"/>
        <v>0</v>
      </c>
      <c r="L40" s="58">
        <f t="shared" si="8"/>
        <v>0</v>
      </c>
      <c r="M40" s="58">
        <f t="shared" si="10"/>
        <v>500055.2507358617</v>
      </c>
      <c r="N40" s="55">
        <f t="shared" si="14"/>
        <v>2.403128400897712</v>
      </c>
      <c r="O40" s="58"/>
      <c r="P40" s="21"/>
      <c r="Q40" s="21"/>
      <c r="R40" s="21"/>
      <c r="S40" s="59">
        <f t="shared" si="15"/>
        <v>0</v>
      </c>
      <c r="T40" s="65">
        <f t="shared" si="16"/>
        <v>238490.6346392412</v>
      </c>
      <c r="U40" s="64">
        <f t="shared" si="17"/>
        <v>0.007725128493078456</v>
      </c>
      <c r="V40" s="58">
        <f t="shared" si="11"/>
        <v>4492.908212012434</v>
      </c>
      <c r="W40" s="37">
        <f>C40*Allocations!$B$9</f>
        <v>246815.44835461723</v>
      </c>
      <c r="X40" s="62">
        <f t="shared" si="9"/>
        <v>512872.97266325017</v>
      </c>
      <c r="Y40" s="40"/>
      <c r="Z40" s="37"/>
      <c r="AA40" s="40"/>
      <c r="AB40" s="37"/>
      <c r="AC40" s="18"/>
      <c r="AD40" s="37"/>
      <c r="AE40" s="97"/>
      <c r="AF40" s="36"/>
      <c r="AG40" s="96"/>
      <c r="AH40" s="86"/>
      <c r="AI40" s="96"/>
      <c r="AJ40" s="86"/>
      <c r="AK40" s="18"/>
      <c r="AL40" s="37"/>
      <c r="AM40" s="18"/>
      <c r="AN40" s="37"/>
      <c r="AO40" s="18"/>
      <c r="AP40" s="37"/>
      <c r="AQ40" s="18"/>
      <c r="AR40" s="37"/>
      <c r="AS40" s="18"/>
      <c r="AT40" s="37"/>
      <c r="AU40" s="20"/>
      <c r="AV40" s="73"/>
    </row>
    <row r="41" spans="1:48" ht="12.75">
      <c r="A41" s="27" t="s">
        <v>38</v>
      </c>
      <c r="B41" s="17">
        <v>37</v>
      </c>
      <c r="C41" s="90">
        <v>0.007234040446395231</v>
      </c>
      <c r="D41" s="111">
        <v>208838.7105339553</v>
      </c>
      <c r="E41" s="37">
        <v>209736.0281272147</v>
      </c>
      <c r="F41" s="85">
        <f>C41*Allocations!$B$6</f>
        <v>231489.2942846474</v>
      </c>
      <c r="G41" s="85">
        <f t="shared" si="12"/>
        <v>650064.0329458173</v>
      </c>
      <c r="H41" s="86">
        <f t="shared" si="13"/>
        <v>216688.01098193912</v>
      </c>
      <c r="I41" s="62">
        <v>265186.3689452616</v>
      </c>
      <c r="J41" s="61">
        <f t="shared" si="6"/>
        <v>496675.66322990897</v>
      </c>
      <c r="K41" s="58">
        <f t="shared" si="7"/>
        <v>394451.8</v>
      </c>
      <c r="L41" s="58">
        <f t="shared" si="8"/>
        <v>315561.44</v>
      </c>
      <c r="M41" s="58">
        <f t="shared" si="10"/>
        <v>181114.22322990897</v>
      </c>
      <c r="N41" s="55">
        <f t="shared" si="14"/>
        <v>0.8358294601033778</v>
      </c>
      <c r="O41" s="58"/>
      <c r="P41" s="21"/>
      <c r="Q41" s="21"/>
      <c r="R41" s="21"/>
      <c r="S41" s="59">
        <f t="shared" si="15"/>
        <v>0</v>
      </c>
      <c r="T41" s="65">
        <f t="shared" si="16"/>
        <v>231489.2942846474</v>
      </c>
      <c r="U41" s="64">
        <f t="shared" si="17"/>
        <v>0.007498342841957071</v>
      </c>
      <c r="V41" s="58">
        <f t="shared" si="11"/>
        <v>4361.01045585177</v>
      </c>
      <c r="W41" s="37">
        <f>C41*Allocations!$B$9</f>
        <v>239569.71746327088</v>
      </c>
      <c r="X41" s="62">
        <f t="shared" si="9"/>
        <v>193555.65686438422</v>
      </c>
      <c r="Y41" s="40"/>
      <c r="Z41" s="37"/>
      <c r="AA41" s="40"/>
      <c r="AB41" s="37"/>
      <c r="AC41" s="18"/>
      <c r="AD41" s="37"/>
      <c r="AE41" s="96"/>
      <c r="AF41" s="86"/>
      <c r="AG41" s="96"/>
      <c r="AH41" s="86"/>
      <c r="AI41" s="96">
        <v>394451.8</v>
      </c>
      <c r="AJ41" s="86">
        <v>315561.44</v>
      </c>
      <c r="AK41" s="18"/>
      <c r="AL41" s="37"/>
      <c r="AM41" s="18"/>
      <c r="AN41" s="37"/>
      <c r="AO41" s="18"/>
      <c r="AP41" s="37"/>
      <c r="AQ41" s="18"/>
      <c r="AR41" s="37"/>
      <c r="AS41" s="18"/>
      <c r="AT41" s="37"/>
      <c r="AU41" s="20"/>
      <c r="AV41" s="73"/>
    </row>
    <row r="42" spans="1:48" ht="12.75">
      <c r="A42" s="27" t="s">
        <v>39</v>
      </c>
      <c r="B42" s="17">
        <v>38</v>
      </c>
      <c r="C42" s="90">
        <v>0.00917391532961766</v>
      </c>
      <c r="D42" s="111">
        <v>285222.03946940205</v>
      </c>
      <c r="E42" s="37">
        <v>278228.1709956655</v>
      </c>
      <c r="F42" s="85">
        <f>C42*Allocations!$B$6</f>
        <v>293565.29054776515</v>
      </c>
      <c r="G42" s="85">
        <f t="shared" si="12"/>
        <v>857015.5010128326</v>
      </c>
      <c r="H42" s="86">
        <f t="shared" si="13"/>
        <v>285671.8336709442</v>
      </c>
      <c r="I42" s="62">
        <v>275465.35987622704</v>
      </c>
      <c r="J42" s="61">
        <f t="shared" si="6"/>
        <v>569030.6504239922</v>
      </c>
      <c r="K42" s="58">
        <f t="shared" si="7"/>
        <v>0</v>
      </c>
      <c r="L42" s="58">
        <f t="shared" si="8"/>
        <v>0</v>
      </c>
      <c r="M42" s="58">
        <f t="shared" si="10"/>
        <v>569030.6504239922</v>
      </c>
      <c r="N42" s="55">
        <f t="shared" si="14"/>
        <v>1.9919032377530068</v>
      </c>
      <c r="O42" s="58"/>
      <c r="P42" s="21"/>
      <c r="Q42" s="21"/>
      <c r="R42" s="21"/>
      <c r="S42" s="59">
        <f t="shared" si="15"/>
        <v>0</v>
      </c>
      <c r="T42" s="65">
        <f t="shared" si="16"/>
        <v>293565.29054776515</v>
      </c>
      <c r="U42" s="64">
        <f t="shared" si="17"/>
        <v>0.009509092858174011</v>
      </c>
      <c r="V42" s="58">
        <f t="shared" si="11"/>
        <v>5530.455762588039</v>
      </c>
      <c r="W42" s="37">
        <f>C42*Allocations!$B$9</f>
        <v>303812.5539709481</v>
      </c>
      <c r="X42" s="62">
        <f t="shared" si="9"/>
        <v>584808.3696097631</v>
      </c>
      <c r="Y42" s="40"/>
      <c r="Z42" s="37"/>
      <c r="AA42" s="108"/>
      <c r="AB42" s="86"/>
      <c r="AC42" s="18"/>
      <c r="AD42" s="37"/>
      <c r="AE42" s="97"/>
      <c r="AF42" s="36"/>
      <c r="AG42" s="96"/>
      <c r="AH42" s="86"/>
      <c r="AI42" s="18"/>
      <c r="AJ42" s="37"/>
      <c r="AK42" s="18"/>
      <c r="AL42" s="37"/>
      <c r="AM42" s="18"/>
      <c r="AN42" s="37"/>
      <c r="AO42" s="18"/>
      <c r="AP42" s="37"/>
      <c r="AQ42" s="18"/>
      <c r="AR42" s="37"/>
      <c r="AS42" s="18"/>
      <c r="AT42" s="37"/>
      <c r="AU42" s="20"/>
      <c r="AV42" s="73"/>
    </row>
    <row r="43" spans="1:48" ht="12.75">
      <c r="A43" s="27" t="s">
        <v>40</v>
      </c>
      <c r="B43" s="17">
        <v>39</v>
      </c>
      <c r="C43" s="90">
        <v>0.010738420493450368</v>
      </c>
      <c r="D43" s="111">
        <v>370320.64449715114</v>
      </c>
      <c r="E43" s="37">
        <v>326772.97038008634</v>
      </c>
      <c r="F43" s="85">
        <f>C43*Allocations!$B$6</f>
        <v>343629.45579041174</v>
      </c>
      <c r="G43" s="85">
        <f t="shared" si="12"/>
        <v>1040723.0706676492</v>
      </c>
      <c r="H43" s="86">
        <f t="shared" si="13"/>
        <v>346907.6902225497</v>
      </c>
      <c r="I43" s="62">
        <v>939205.9559973767</v>
      </c>
      <c r="J43" s="61">
        <f t="shared" si="6"/>
        <v>1282835.4117877884</v>
      </c>
      <c r="K43" s="58">
        <f t="shared" si="7"/>
        <v>971191.42</v>
      </c>
      <c r="L43" s="58">
        <f t="shared" si="8"/>
        <v>776953.14</v>
      </c>
      <c r="M43" s="58">
        <f t="shared" si="10"/>
        <v>505882.27178778837</v>
      </c>
      <c r="N43" s="55">
        <f t="shared" si="14"/>
        <v>1.4582619124506944</v>
      </c>
      <c r="O43" s="58"/>
      <c r="P43" s="21"/>
      <c r="Q43" s="21"/>
      <c r="R43" s="21"/>
      <c r="S43" s="59">
        <f t="shared" si="15"/>
        <v>0</v>
      </c>
      <c r="T43" s="65">
        <f t="shared" si="16"/>
        <v>343629.45579041174</v>
      </c>
      <c r="U43" s="64">
        <f t="shared" si="17"/>
        <v>0.011130758673199358</v>
      </c>
      <c r="V43" s="58">
        <f t="shared" si="11"/>
        <v>6473.61103359684</v>
      </c>
      <c r="W43" s="37">
        <f>C43*Allocations!$B$9</f>
        <v>355624.2714815958</v>
      </c>
      <c r="X43" s="62">
        <f t="shared" si="9"/>
        <v>524350.6985125693</v>
      </c>
      <c r="Y43" s="40"/>
      <c r="Z43" s="37"/>
      <c r="AA43" s="40"/>
      <c r="AB43" s="37"/>
      <c r="AC43" s="18"/>
      <c r="AD43" s="37"/>
      <c r="AE43" s="97"/>
      <c r="AF43" s="36"/>
      <c r="AG43" s="96">
        <v>971191.42</v>
      </c>
      <c r="AH43" s="86">
        <v>776953.14</v>
      </c>
      <c r="AI43" s="18"/>
      <c r="AJ43" s="37"/>
      <c r="AK43" s="18"/>
      <c r="AL43" s="37"/>
      <c r="AM43" s="18"/>
      <c r="AN43" s="37"/>
      <c r="AO43" s="18"/>
      <c r="AP43" s="37"/>
      <c r="AQ43" s="18"/>
      <c r="AR43" s="37"/>
      <c r="AS43" s="18"/>
      <c r="AT43" s="37"/>
      <c r="AU43" s="20"/>
      <c r="AV43" s="73"/>
    </row>
    <row r="44" spans="1:48" ht="12.75">
      <c r="A44" s="22" t="s">
        <v>41</v>
      </c>
      <c r="B44" s="23">
        <v>40</v>
      </c>
      <c r="C44" s="91">
        <v>0.006343867037008411</v>
      </c>
      <c r="D44" s="112">
        <v>208550.90455423086</v>
      </c>
      <c r="E44" s="38">
        <v>197762.4674054186</v>
      </c>
      <c r="F44" s="87">
        <f>C44*Allocations!$B$6</f>
        <v>203003.74518426915</v>
      </c>
      <c r="G44" s="87">
        <f t="shared" si="12"/>
        <v>609317.1171439186</v>
      </c>
      <c r="H44" s="88">
        <f t="shared" si="13"/>
        <v>203105.70571463954</v>
      </c>
      <c r="I44" s="105">
        <v>566916.8581066591</v>
      </c>
      <c r="J44" s="92">
        <f t="shared" si="6"/>
        <v>769920.6032909283</v>
      </c>
      <c r="K44" s="60">
        <f t="shared" si="7"/>
        <v>439122.77</v>
      </c>
      <c r="L44" s="60">
        <f t="shared" si="8"/>
        <v>351298.22</v>
      </c>
      <c r="M44" s="60">
        <f t="shared" si="10"/>
        <v>418622.3832909283</v>
      </c>
      <c r="N44" s="56">
        <f t="shared" si="14"/>
        <v>2.061105973453481</v>
      </c>
      <c r="O44" s="60"/>
      <c r="P44" s="25"/>
      <c r="Q44" s="25"/>
      <c r="R44" s="25"/>
      <c r="S44" s="41">
        <f t="shared" si="15"/>
        <v>0</v>
      </c>
      <c r="T44" s="66">
        <f t="shared" si="16"/>
        <v>203003.74518426915</v>
      </c>
      <c r="U44" s="67">
        <f t="shared" si="17"/>
        <v>0.006575646119173016</v>
      </c>
      <c r="V44" s="60">
        <f t="shared" si="11"/>
        <v>3824.373209402368</v>
      </c>
      <c r="W44" s="38">
        <f>C44*Allocations!$B$9</f>
        <v>210089.84466460755</v>
      </c>
      <c r="X44" s="106">
        <f t="shared" si="9"/>
        <v>429532.8559806691</v>
      </c>
      <c r="Y44" s="41"/>
      <c r="Z44" s="38"/>
      <c r="AA44" s="109">
        <v>439122.77</v>
      </c>
      <c r="AB44" s="88">
        <v>351298.22</v>
      </c>
      <c r="AC44" s="26"/>
      <c r="AD44" s="38"/>
      <c r="AE44" s="98"/>
      <c r="AF44" s="99"/>
      <c r="AG44" s="101"/>
      <c r="AH44" s="88"/>
      <c r="AI44" s="26"/>
      <c r="AJ44" s="38"/>
      <c r="AK44" s="26"/>
      <c r="AL44" s="38"/>
      <c r="AM44" s="26"/>
      <c r="AN44" s="38"/>
      <c r="AO44" s="26"/>
      <c r="AP44" s="38"/>
      <c r="AQ44" s="26"/>
      <c r="AR44" s="38"/>
      <c r="AS44" s="26"/>
      <c r="AT44" s="38"/>
      <c r="AU44" s="24"/>
      <c r="AV44" s="74"/>
    </row>
    <row r="45" spans="1:48" ht="12.75">
      <c r="A45" s="27" t="s">
        <v>42</v>
      </c>
      <c r="B45" s="17">
        <v>41</v>
      </c>
      <c r="C45" s="90">
        <v>0.007852368407655873</v>
      </c>
      <c r="D45" s="111">
        <v>268793.11890794506</v>
      </c>
      <c r="E45" s="37">
        <v>244086.60208577308</v>
      </c>
      <c r="F45" s="85">
        <f>C45*Allocations!$B$6</f>
        <v>251275.78904498793</v>
      </c>
      <c r="G45" s="85">
        <f t="shared" si="12"/>
        <v>764155.510038706</v>
      </c>
      <c r="H45" s="86">
        <f t="shared" si="13"/>
        <v>254718.50334623535</v>
      </c>
      <c r="I45" s="62">
        <v>-848203.1376540707</v>
      </c>
      <c r="J45" s="61">
        <f t="shared" si="6"/>
        <v>-596927.3486090829</v>
      </c>
      <c r="K45" s="58">
        <f t="shared" si="7"/>
        <v>471996.5</v>
      </c>
      <c r="L45" s="58">
        <f t="shared" si="8"/>
        <v>377597.2</v>
      </c>
      <c r="M45" s="58">
        <f t="shared" si="10"/>
        <v>-974524.5486090828</v>
      </c>
      <c r="N45" s="55">
        <f t="shared" si="14"/>
        <v>-3.825888326944294</v>
      </c>
      <c r="O45" s="58"/>
      <c r="P45" s="21"/>
      <c r="Q45" s="21"/>
      <c r="R45" s="21"/>
      <c r="S45" s="59">
        <f t="shared" si="15"/>
        <v>0</v>
      </c>
      <c r="T45" s="65">
        <f t="shared" si="16"/>
        <v>251275.78904498793</v>
      </c>
      <c r="U45" s="64">
        <f t="shared" si="17"/>
        <v>0.008139261990344057</v>
      </c>
      <c r="V45" s="58">
        <f t="shared" si="11"/>
        <v>4733.766832344919</v>
      </c>
      <c r="W45" s="37">
        <f>C45*Allocations!$B$9</f>
        <v>260046.88455633953</v>
      </c>
      <c r="X45" s="62">
        <f t="shared" si="9"/>
        <v>-961019.6862653862</v>
      </c>
      <c r="Y45" s="40"/>
      <c r="Z45" s="37"/>
      <c r="AA45" s="40"/>
      <c r="AB45" s="37"/>
      <c r="AC45" s="18"/>
      <c r="AD45" s="37"/>
      <c r="AE45" s="97"/>
      <c r="AF45" s="36"/>
      <c r="AG45" s="96"/>
      <c r="AH45" s="86"/>
      <c r="AI45" s="96">
        <v>471996.5</v>
      </c>
      <c r="AJ45" s="86">
        <v>377597.2</v>
      </c>
      <c r="AK45" s="18"/>
      <c r="AL45" s="37"/>
      <c r="AM45" s="96"/>
      <c r="AN45" s="86"/>
      <c r="AO45" s="18"/>
      <c r="AP45" s="37"/>
      <c r="AQ45" s="96"/>
      <c r="AR45" s="86"/>
      <c r="AS45" s="18"/>
      <c r="AT45" s="37"/>
      <c r="AU45" s="20"/>
      <c r="AV45" s="73"/>
    </row>
    <row r="46" spans="1:48" ht="12.75">
      <c r="A46" s="27" t="s">
        <v>43</v>
      </c>
      <c r="B46" s="17">
        <v>42</v>
      </c>
      <c r="C46" s="90">
        <v>0.010137062960991072</v>
      </c>
      <c r="D46" s="111">
        <v>319267.8337697308</v>
      </c>
      <c r="E46" s="37">
        <v>281259.74532571423</v>
      </c>
      <c r="F46" s="85">
        <f>C46*Allocations!$B$6</f>
        <v>324386.0147517143</v>
      </c>
      <c r="G46" s="85">
        <f t="shared" si="12"/>
        <v>924913.5938471594</v>
      </c>
      <c r="H46" s="86">
        <f t="shared" si="13"/>
        <v>308304.53128238645</v>
      </c>
      <c r="I46" s="62">
        <v>808414.3021689418</v>
      </c>
      <c r="J46" s="61">
        <f t="shared" si="6"/>
        <v>1132800.3169206562</v>
      </c>
      <c r="K46" s="58">
        <f t="shared" si="7"/>
        <v>0</v>
      </c>
      <c r="L46" s="58">
        <f t="shared" si="8"/>
        <v>0</v>
      </c>
      <c r="M46" s="58">
        <f t="shared" si="10"/>
        <v>1132800.3169206562</v>
      </c>
      <c r="N46" s="55">
        <f t="shared" si="14"/>
        <v>3.6742901968024806</v>
      </c>
      <c r="O46" s="58">
        <v>306662.55</v>
      </c>
      <c r="P46" s="21">
        <v>245330.04</v>
      </c>
      <c r="Q46" s="21"/>
      <c r="R46" s="21"/>
      <c r="S46" s="59">
        <f t="shared" si="15"/>
        <v>0</v>
      </c>
      <c r="T46" s="65">
        <f t="shared" si="16"/>
        <v>324386.0147517143</v>
      </c>
      <c r="U46" s="64">
        <f t="shared" si="17"/>
        <v>0.010507429984012934</v>
      </c>
      <c r="V46" s="58">
        <f t="shared" si="11"/>
        <v>6111.085207788522</v>
      </c>
      <c r="W46" s="37">
        <f>C46*Allocations!$B$9</f>
        <v>335709.11407914135</v>
      </c>
      <c r="X46" s="62">
        <f t="shared" si="9"/>
        <v>1150234.5014558716</v>
      </c>
      <c r="Y46" s="40"/>
      <c r="Z46" s="37"/>
      <c r="AA46" s="108"/>
      <c r="AB46" s="86"/>
      <c r="AC46" s="18"/>
      <c r="AD46" s="37"/>
      <c r="AE46" s="97"/>
      <c r="AF46" s="36"/>
      <c r="AG46" s="96"/>
      <c r="AH46" s="86"/>
      <c r="AI46" s="18"/>
      <c r="AJ46" s="37"/>
      <c r="AK46" s="18"/>
      <c r="AL46" s="37"/>
      <c r="AM46" s="18"/>
      <c r="AN46" s="37"/>
      <c r="AO46" s="18"/>
      <c r="AP46" s="37"/>
      <c r="AQ46" s="18"/>
      <c r="AR46" s="37"/>
      <c r="AS46" s="18"/>
      <c r="AT46" s="37"/>
      <c r="AU46" s="20"/>
      <c r="AV46" s="73"/>
    </row>
    <row r="47" spans="1:48" ht="12.75">
      <c r="A47" s="27" t="s">
        <v>44</v>
      </c>
      <c r="B47" s="17">
        <v>43</v>
      </c>
      <c r="C47" s="90">
        <v>0.010940913292387767</v>
      </c>
      <c r="D47" s="111">
        <v>310046.99232428253</v>
      </c>
      <c r="E47" s="37">
        <v>301421.49869485333</v>
      </c>
      <c r="F47" s="85">
        <f>C47*Allocations!$B$6</f>
        <v>350109.2253564085</v>
      </c>
      <c r="G47" s="85">
        <f t="shared" si="12"/>
        <v>961577.7163755443</v>
      </c>
      <c r="H47" s="86">
        <f t="shared" si="13"/>
        <v>320525.90545851475</v>
      </c>
      <c r="I47" s="62">
        <v>1170767.2947853855</v>
      </c>
      <c r="J47" s="61">
        <f t="shared" si="6"/>
        <v>1520876.5201417939</v>
      </c>
      <c r="K47" s="58">
        <f t="shared" si="7"/>
        <v>1445841.99</v>
      </c>
      <c r="L47" s="58">
        <f t="shared" si="8"/>
        <v>1156673.5899999999</v>
      </c>
      <c r="M47" s="58">
        <f t="shared" si="10"/>
        <v>364202.93014179403</v>
      </c>
      <c r="N47" s="55">
        <f t="shared" si="14"/>
        <v>1.1362667539174376</v>
      </c>
      <c r="O47" s="58"/>
      <c r="P47" s="21"/>
      <c r="Q47" s="21"/>
      <c r="R47" s="21"/>
      <c r="S47" s="59">
        <f t="shared" si="15"/>
        <v>0</v>
      </c>
      <c r="T47" s="65">
        <f t="shared" si="16"/>
        <v>350109.2253564085</v>
      </c>
      <c r="U47" s="64">
        <f t="shared" si="17"/>
        <v>0.011340649734869701</v>
      </c>
      <c r="V47" s="58">
        <f t="shared" si="11"/>
        <v>6595.682954530143</v>
      </c>
      <c r="W47" s="37">
        <f>C47*Allocations!$B$9</f>
        <v>362330.2255040057</v>
      </c>
      <c r="X47" s="62">
        <f t="shared" si="9"/>
        <v>383019.6132439214</v>
      </c>
      <c r="Y47" s="40"/>
      <c r="Z47" s="37"/>
      <c r="AA47" s="40"/>
      <c r="AB47" s="37"/>
      <c r="AC47" s="96">
        <v>1112548.54</v>
      </c>
      <c r="AD47" s="86">
        <v>890038.83</v>
      </c>
      <c r="AE47" s="97"/>
      <c r="AF47" s="36"/>
      <c r="AG47" s="96"/>
      <c r="AH47" s="86"/>
      <c r="AI47" s="18"/>
      <c r="AJ47" s="37"/>
      <c r="AK47" s="96">
        <v>333293.45</v>
      </c>
      <c r="AL47" s="86">
        <v>266634.76</v>
      </c>
      <c r="AM47" s="18"/>
      <c r="AN47" s="37"/>
      <c r="AO47" s="18"/>
      <c r="AP47" s="37"/>
      <c r="AQ47" s="18"/>
      <c r="AR47" s="37"/>
      <c r="AS47" s="18"/>
      <c r="AT47" s="37"/>
      <c r="AU47" s="20"/>
      <c r="AV47" s="73"/>
    </row>
    <row r="48" spans="1:48" ht="12.75">
      <c r="A48" s="27" t="s">
        <v>45</v>
      </c>
      <c r="B48" s="17">
        <v>44</v>
      </c>
      <c r="C48" s="90">
        <v>0.00628867541075725</v>
      </c>
      <c r="D48" s="111">
        <v>276586.87131970096</v>
      </c>
      <c r="E48" s="37">
        <v>203188.8954632181</v>
      </c>
      <c r="F48" s="85">
        <f>C48*Allocations!$B$6</f>
        <v>201237.613144232</v>
      </c>
      <c r="G48" s="85">
        <f t="shared" si="12"/>
        <v>681013.379927151</v>
      </c>
      <c r="H48" s="86">
        <f t="shared" si="13"/>
        <v>227004.459975717</v>
      </c>
      <c r="I48" s="62">
        <v>254624.07814976425</v>
      </c>
      <c r="J48" s="61">
        <f t="shared" si="6"/>
        <v>455861.69129399623</v>
      </c>
      <c r="K48" s="58">
        <f t="shared" si="7"/>
        <v>0</v>
      </c>
      <c r="L48" s="58">
        <f t="shared" si="8"/>
        <v>0</v>
      </c>
      <c r="M48" s="58">
        <f t="shared" si="10"/>
        <v>455861.69129399623</v>
      </c>
      <c r="N48" s="55">
        <f t="shared" si="14"/>
        <v>2.008161827933955</v>
      </c>
      <c r="O48" s="58"/>
      <c r="P48" s="21"/>
      <c r="Q48" s="21"/>
      <c r="R48" s="21"/>
      <c r="S48" s="59">
        <f t="shared" si="15"/>
        <v>0</v>
      </c>
      <c r="T48" s="65">
        <f t="shared" si="16"/>
        <v>201237.613144232</v>
      </c>
      <c r="U48" s="64">
        <f t="shared" si="17"/>
        <v>0.006518438015527067</v>
      </c>
      <c r="V48" s="58">
        <f t="shared" si="11"/>
        <v>3791.101172711349</v>
      </c>
      <c r="W48" s="37">
        <f>C48*Allocations!$B$9</f>
        <v>208262.06357804785</v>
      </c>
      <c r="X48" s="62">
        <f t="shared" si="9"/>
        <v>466677.2429005235</v>
      </c>
      <c r="Y48" s="40"/>
      <c r="Z48" s="37"/>
      <c r="AA48" s="40"/>
      <c r="AB48" s="37"/>
      <c r="AC48" s="18"/>
      <c r="AD48" s="37"/>
      <c r="AE48" s="97"/>
      <c r="AF48" s="36"/>
      <c r="AG48" s="96"/>
      <c r="AH48" s="86"/>
      <c r="AI48" s="18"/>
      <c r="AJ48" s="37"/>
      <c r="AK48" s="18"/>
      <c r="AL48" s="37"/>
      <c r="AM48" s="18"/>
      <c r="AN48" s="37"/>
      <c r="AO48" s="96"/>
      <c r="AP48" s="86"/>
      <c r="AQ48" s="18"/>
      <c r="AR48" s="37"/>
      <c r="AS48" s="18"/>
      <c r="AT48" s="37"/>
      <c r="AU48" s="20"/>
      <c r="AV48" s="73"/>
    </row>
    <row r="49" spans="1:48" ht="12.75">
      <c r="A49" s="22" t="s">
        <v>46</v>
      </c>
      <c r="B49" s="23">
        <v>45</v>
      </c>
      <c r="C49" s="91">
        <v>0.007516596006751258</v>
      </c>
      <c r="D49" s="112">
        <v>239918.44842652537</v>
      </c>
      <c r="E49" s="38">
        <v>230590.85864556153</v>
      </c>
      <c r="F49" s="87">
        <f>C49*Allocations!$B$6</f>
        <v>240531.07221604025</v>
      </c>
      <c r="G49" s="87">
        <f t="shared" si="12"/>
        <v>711040.3792881272</v>
      </c>
      <c r="H49" s="88">
        <f t="shared" si="13"/>
        <v>237013.45976270907</v>
      </c>
      <c r="I49" s="105">
        <v>347743.9763929515</v>
      </c>
      <c r="J49" s="92">
        <f t="shared" si="6"/>
        <v>588275.0486089918</v>
      </c>
      <c r="K49" s="60">
        <f t="shared" si="7"/>
        <v>210268.4</v>
      </c>
      <c r="L49" s="60">
        <f t="shared" si="8"/>
        <v>168214.72</v>
      </c>
      <c r="M49" s="60">
        <f t="shared" si="10"/>
        <v>420060.3286089918</v>
      </c>
      <c r="N49" s="56">
        <f t="shared" si="14"/>
        <v>1.772305796597138</v>
      </c>
      <c r="O49" s="60"/>
      <c r="P49" s="25"/>
      <c r="Q49" s="25"/>
      <c r="R49" s="25"/>
      <c r="S49" s="41">
        <f t="shared" si="15"/>
        <v>0</v>
      </c>
      <c r="T49" s="66">
        <f t="shared" si="16"/>
        <v>240531.07221604025</v>
      </c>
      <c r="U49" s="67">
        <f t="shared" si="17"/>
        <v>0.007791221832495</v>
      </c>
      <c r="V49" s="60">
        <f t="shared" si="11"/>
        <v>4531.347871325541</v>
      </c>
      <c r="W49" s="38">
        <f>C49*Allocations!$B$9</f>
        <v>248927.1099555814</v>
      </c>
      <c r="X49" s="106">
        <f t="shared" si="9"/>
        <v>432987.7142198584</v>
      </c>
      <c r="Y49" s="41"/>
      <c r="Z49" s="38"/>
      <c r="AA49" s="41"/>
      <c r="AB49" s="38"/>
      <c r="AC49" s="26"/>
      <c r="AD49" s="38"/>
      <c r="AE49" s="101">
        <v>210268.4</v>
      </c>
      <c r="AF49" s="88">
        <v>168214.72</v>
      </c>
      <c r="AG49" s="101"/>
      <c r="AH49" s="88"/>
      <c r="AI49" s="26"/>
      <c r="AJ49" s="38"/>
      <c r="AK49" s="101"/>
      <c r="AL49" s="88"/>
      <c r="AM49" s="26"/>
      <c r="AN49" s="38"/>
      <c r="AO49" s="26"/>
      <c r="AP49" s="38"/>
      <c r="AQ49" s="26"/>
      <c r="AR49" s="38"/>
      <c r="AS49" s="26"/>
      <c r="AT49" s="38"/>
      <c r="AU49" s="24"/>
      <c r="AV49" s="74"/>
    </row>
    <row r="50" spans="1:48" ht="12.75">
      <c r="A50" s="27" t="s">
        <v>47</v>
      </c>
      <c r="B50" s="17">
        <v>46</v>
      </c>
      <c r="C50" s="90">
        <v>0.0037850526527364848</v>
      </c>
      <c r="D50" s="111">
        <v>179750.86020952958</v>
      </c>
      <c r="E50" s="37">
        <v>162510.2230654459</v>
      </c>
      <c r="F50" s="85">
        <f>C50*Allocations!$B$6</f>
        <v>121121.6848875675</v>
      </c>
      <c r="G50" s="85">
        <f t="shared" si="12"/>
        <v>463382.76816254295</v>
      </c>
      <c r="H50" s="86">
        <f t="shared" si="13"/>
        <v>154460.92272084765</v>
      </c>
      <c r="I50" s="62">
        <v>265317.52683675743</v>
      </c>
      <c r="J50" s="61">
        <f t="shared" si="6"/>
        <v>386439.21172432497</v>
      </c>
      <c r="K50" s="58">
        <f t="shared" si="7"/>
        <v>266420.25</v>
      </c>
      <c r="L50" s="58">
        <f t="shared" si="8"/>
        <v>213136.2</v>
      </c>
      <c r="M50" s="58">
        <f t="shared" si="10"/>
        <v>173303.01172432496</v>
      </c>
      <c r="N50" s="55">
        <f t="shared" si="14"/>
        <v>1.1219861222603857</v>
      </c>
      <c r="O50" s="58"/>
      <c r="P50" s="21"/>
      <c r="Q50" s="21"/>
      <c r="R50" s="21"/>
      <c r="S50" s="59">
        <f t="shared" si="15"/>
        <v>0</v>
      </c>
      <c r="T50" s="65">
        <f t="shared" si="16"/>
        <v>121121.6848875675</v>
      </c>
      <c r="U50" s="64">
        <f t="shared" si="17"/>
        <v>0.0039233430716053</v>
      </c>
      <c r="V50" s="58">
        <f t="shared" si="11"/>
        <v>2281.8028620172645</v>
      </c>
      <c r="W50" s="37">
        <f>C50*Allocations!$B$9</f>
        <v>125349.58870067417</v>
      </c>
      <c r="X50" s="62">
        <f t="shared" si="9"/>
        <v>179812.71839944884</v>
      </c>
      <c r="Y50" s="40"/>
      <c r="Z50" s="37"/>
      <c r="AA50" s="40"/>
      <c r="AB50" s="37"/>
      <c r="AC50" s="18"/>
      <c r="AD50" s="37"/>
      <c r="AE50" s="97"/>
      <c r="AF50" s="36"/>
      <c r="AG50" s="96">
        <v>266420.25</v>
      </c>
      <c r="AH50" s="86">
        <v>213136.2</v>
      </c>
      <c r="AI50" s="96"/>
      <c r="AJ50" s="86"/>
      <c r="AK50" s="18"/>
      <c r="AL50" s="37"/>
      <c r="AM50" s="18"/>
      <c r="AN50" s="37"/>
      <c r="AO50" s="18"/>
      <c r="AP50" s="37"/>
      <c r="AQ50" s="18"/>
      <c r="AR50" s="37"/>
      <c r="AS50" s="18"/>
      <c r="AT50" s="37"/>
      <c r="AU50" s="20"/>
      <c r="AV50" s="73"/>
    </row>
    <row r="51" spans="1:48" ht="12.75">
      <c r="A51" s="27" t="s">
        <v>48</v>
      </c>
      <c r="B51" s="17">
        <v>47</v>
      </c>
      <c r="C51" s="90">
        <v>0.0056980110176240726</v>
      </c>
      <c r="D51" s="111">
        <v>188656.6565268849</v>
      </c>
      <c r="E51" s="37">
        <v>189751.53571889183</v>
      </c>
      <c r="F51" s="85">
        <f>C51*Allocations!$B$6</f>
        <v>182336.35256397031</v>
      </c>
      <c r="G51" s="85">
        <f t="shared" si="12"/>
        <v>560744.544809747</v>
      </c>
      <c r="H51" s="86">
        <f t="shared" si="13"/>
        <v>186914.84826991567</v>
      </c>
      <c r="I51" s="62">
        <v>11925.088734526857</v>
      </c>
      <c r="J51" s="61">
        <f t="shared" si="6"/>
        <v>194261.44129849717</v>
      </c>
      <c r="K51" s="58">
        <f t="shared" si="7"/>
        <v>299408.6</v>
      </c>
      <c r="L51" s="58">
        <f t="shared" si="8"/>
        <v>239526.88</v>
      </c>
      <c r="M51" s="58">
        <f t="shared" si="10"/>
        <v>-45265.43870150283</v>
      </c>
      <c r="N51" s="55">
        <f t="shared" si="14"/>
        <v>-0.24217144395150975</v>
      </c>
      <c r="O51" s="58"/>
      <c r="P51" s="21"/>
      <c r="Q51" s="21"/>
      <c r="R51" s="21"/>
      <c r="S51" s="59">
        <f t="shared" si="15"/>
        <v>0</v>
      </c>
      <c r="T51" s="65">
        <f t="shared" si="16"/>
        <v>182336.35256397031</v>
      </c>
      <c r="U51" s="64">
        <f t="shared" si="17"/>
        <v>0.005906193149456947</v>
      </c>
      <c r="V51" s="58">
        <f t="shared" si="11"/>
        <v>3435.021660377863</v>
      </c>
      <c r="W51" s="37">
        <f>C51*Allocations!$B$9</f>
        <v>188701.03087065642</v>
      </c>
      <c r="X51" s="62">
        <f t="shared" si="9"/>
        <v>-35465.73873443887</v>
      </c>
      <c r="Y51" s="40"/>
      <c r="Z51" s="37"/>
      <c r="AA51" s="40"/>
      <c r="AB51" s="37"/>
      <c r="AC51" s="96"/>
      <c r="AD51" s="86"/>
      <c r="AE51" s="96">
        <v>299408.6</v>
      </c>
      <c r="AF51" s="86">
        <v>239526.88</v>
      </c>
      <c r="AG51" s="96"/>
      <c r="AH51" s="86"/>
      <c r="AI51" s="96"/>
      <c r="AJ51" s="86"/>
      <c r="AK51" s="18"/>
      <c r="AL51" s="37"/>
      <c r="AM51" s="18"/>
      <c r="AN51" s="37"/>
      <c r="AO51" s="18"/>
      <c r="AP51" s="37"/>
      <c r="AQ51" s="18"/>
      <c r="AR51" s="37"/>
      <c r="AS51" s="18"/>
      <c r="AT51" s="37"/>
      <c r="AU51" s="20"/>
      <c r="AV51" s="73"/>
    </row>
    <row r="52" spans="1:48" ht="12.75">
      <c r="A52" s="27" t="s">
        <v>49</v>
      </c>
      <c r="B52" s="17">
        <v>48</v>
      </c>
      <c r="C52" s="90">
        <v>0.015197409771474258</v>
      </c>
      <c r="D52" s="111">
        <v>454443.32491159346</v>
      </c>
      <c r="E52" s="37">
        <v>442216.56258007727</v>
      </c>
      <c r="F52" s="85">
        <f>C52*Allocations!$B$6</f>
        <v>486317.11268717627</v>
      </c>
      <c r="G52" s="85">
        <f t="shared" si="12"/>
        <v>1382977.000178847</v>
      </c>
      <c r="H52" s="86">
        <f t="shared" si="13"/>
        <v>460992.333392949</v>
      </c>
      <c r="I52" s="62">
        <v>1312948.2954123926</v>
      </c>
      <c r="J52" s="61">
        <f t="shared" si="6"/>
        <v>1799265.408099569</v>
      </c>
      <c r="K52" s="58">
        <f t="shared" si="7"/>
        <v>367799.45</v>
      </c>
      <c r="L52" s="58">
        <f t="shared" si="8"/>
        <v>294239.56</v>
      </c>
      <c r="M52" s="58">
        <f t="shared" si="10"/>
        <v>1505025.8480995689</v>
      </c>
      <c r="N52" s="55">
        <f t="shared" si="14"/>
        <v>3.264752446146838</v>
      </c>
      <c r="O52" s="58"/>
      <c r="P52" s="21"/>
      <c r="Q52" s="21">
        <v>1312589.2</v>
      </c>
      <c r="R52" s="21">
        <f>1050071.36/2</f>
        <v>525035.68</v>
      </c>
      <c r="S52" s="59">
        <f t="shared" si="15"/>
        <v>0</v>
      </c>
      <c r="T52" s="65">
        <f t="shared" si="16"/>
        <v>486317.11268717627</v>
      </c>
      <c r="U52" s="64">
        <f t="shared" si="17"/>
        <v>0.015752661271476186</v>
      </c>
      <c r="V52" s="58">
        <f t="shared" si="11"/>
        <v>9161.693718244123</v>
      </c>
      <c r="W52" s="37">
        <f>C52*Allocations!$B$9</f>
        <v>503292.619401913</v>
      </c>
      <c r="X52" s="62">
        <f t="shared" si="9"/>
        <v>1531163.0485325498</v>
      </c>
      <c r="Y52" s="40"/>
      <c r="Z52" s="37"/>
      <c r="AA52" s="128">
        <v>367799.45</v>
      </c>
      <c r="AB52" s="119">
        <v>294239.56</v>
      </c>
      <c r="AC52" s="18"/>
      <c r="AD52" s="37"/>
      <c r="AE52" s="97"/>
      <c r="AF52" s="36"/>
      <c r="AG52" s="96"/>
      <c r="AH52" s="86"/>
      <c r="AI52" s="18"/>
      <c r="AJ52" s="37"/>
      <c r="AK52" s="96"/>
      <c r="AL52" s="86"/>
      <c r="AM52" s="18"/>
      <c r="AN52" s="37"/>
      <c r="AO52" s="18"/>
      <c r="AP52" s="37"/>
      <c r="AQ52" s="18"/>
      <c r="AR52" s="37"/>
      <c r="AS52" s="18"/>
      <c r="AT52" s="37"/>
      <c r="AU52" s="20"/>
      <c r="AV52" s="73"/>
    </row>
    <row r="53" spans="1:48" ht="12.75">
      <c r="A53" s="27" t="s">
        <v>50</v>
      </c>
      <c r="B53" s="17">
        <v>49</v>
      </c>
      <c r="C53" s="90">
        <v>0.00918235882759907</v>
      </c>
      <c r="D53" s="111">
        <v>304160.63110926707</v>
      </c>
      <c r="E53" s="37">
        <v>262269.12871375884</v>
      </c>
      <c r="F53" s="85">
        <f>C53*Allocations!$B$6</f>
        <v>293835.4824831703</v>
      </c>
      <c r="G53" s="85">
        <f t="shared" si="12"/>
        <v>860265.2423061961</v>
      </c>
      <c r="H53" s="86">
        <f t="shared" si="13"/>
        <v>286755.08076873206</v>
      </c>
      <c r="I53" s="62">
        <v>842716.8038032461</v>
      </c>
      <c r="J53" s="61">
        <f t="shared" si="6"/>
        <v>1136552.2862864165</v>
      </c>
      <c r="K53" s="58">
        <f t="shared" si="7"/>
        <v>1219465.01</v>
      </c>
      <c r="L53" s="58">
        <f t="shared" si="8"/>
        <v>975572</v>
      </c>
      <c r="M53" s="58">
        <f t="shared" si="10"/>
        <v>160980.28628641646</v>
      </c>
      <c r="N53" s="55">
        <f t="shared" si="14"/>
        <v>0.5613859948178113</v>
      </c>
      <c r="O53" s="58"/>
      <c r="P53" s="21"/>
      <c r="Q53" s="21"/>
      <c r="R53" s="21"/>
      <c r="S53" s="59">
        <f t="shared" si="15"/>
        <v>0</v>
      </c>
      <c r="T53" s="65">
        <f t="shared" si="16"/>
        <v>293835.4824831703</v>
      </c>
      <c r="U53" s="64">
        <f t="shared" si="17"/>
        <v>0.009517844847206854</v>
      </c>
      <c r="V53" s="58">
        <f t="shared" si="11"/>
        <v>5535.545889364873</v>
      </c>
      <c r="W53" s="37">
        <f>C53*Allocations!$B$9</f>
        <v>304092.1772935984</v>
      </c>
      <c r="X53" s="62">
        <f t="shared" si="9"/>
        <v>176772.5269862094</v>
      </c>
      <c r="Y53" s="40"/>
      <c r="Z53" s="37"/>
      <c r="AA53" s="40"/>
      <c r="AB53" s="37"/>
      <c r="AC53" s="18"/>
      <c r="AD53" s="37"/>
      <c r="AE53" s="97"/>
      <c r="AF53" s="36"/>
      <c r="AG53" s="96"/>
      <c r="AH53" s="86"/>
      <c r="AI53" s="96"/>
      <c r="AJ53" s="86"/>
      <c r="AK53" s="18"/>
      <c r="AL53" s="37"/>
      <c r="AM53" s="18"/>
      <c r="AN53" s="37"/>
      <c r="AO53" s="18"/>
      <c r="AP53" s="37"/>
      <c r="AQ53" s="18"/>
      <c r="AR53" s="37"/>
      <c r="AS53" s="96">
        <v>1219465.01</v>
      </c>
      <c r="AT53" s="86">
        <v>975572</v>
      </c>
      <c r="AU53" s="20"/>
      <c r="AV53" s="73"/>
    </row>
    <row r="54" spans="1:48" ht="12.75">
      <c r="A54" s="22" t="s">
        <v>51</v>
      </c>
      <c r="B54" s="23">
        <v>50</v>
      </c>
      <c r="C54" s="91">
        <v>0.01794387106637774</v>
      </c>
      <c r="D54" s="112">
        <v>387160.8660969857</v>
      </c>
      <c r="E54" s="38">
        <v>507549.93059897114</v>
      </c>
      <c r="F54" s="87">
        <f>C54*Allocations!$B$6</f>
        <v>574203.8741240877</v>
      </c>
      <c r="G54" s="87">
        <f t="shared" si="12"/>
        <v>1468914.6708200446</v>
      </c>
      <c r="H54" s="88">
        <f t="shared" si="13"/>
        <v>489638.2236066815</v>
      </c>
      <c r="I54" s="105">
        <v>1077672.3036896966</v>
      </c>
      <c r="J54" s="92">
        <f t="shared" si="6"/>
        <v>1651876.1778137842</v>
      </c>
      <c r="K54" s="60">
        <f t="shared" si="7"/>
        <v>245432.3</v>
      </c>
      <c r="L54" s="60">
        <f t="shared" si="8"/>
        <v>196345.84</v>
      </c>
      <c r="M54" s="60">
        <f t="shared" si="10"/>
        <v>1455530.3378137841</v>
      </c>
      <c r="N54" s="56">
        <f t="shared" si="14"/>
        <v>2.9726648526177732</v>
      </c>
      <c r="O54" s="60"/>
      <c r="P54" s="25"/>
      <c r="Q54" s="25"/>
      <c r="R54" s="25"/>
      <c r="S54" s="41">
        <f t="shared" si="15"/>
        <v>0</v>
      </c>
      <c r="T54" s="66">
        <f t="shared" si="16"/>
        <v>574203.8741240877</v>
      </c>
      <c r="U54" s="67">
        <f t="shared" si="17"/>
        <v>0.01859946708407207</v>
      </c>
      <c r="V54" s="60">
        <f t="shared" si="11"/>
        <v>10817.386206061863</v>
      </c>
      <c r="W54" s="38">
        <f>C54*Allocations!$B$9</f>
        <v>594247.1781052316</v>
      </c>
      <c r="X54" s="106">
        <f t="shared" si="9"/>
        <v>1486391.02800099</v>
      </c>
      <c r="Y54" s="41"/>
      <c r="Z54" s="38"/>
      <c r="AA54" s="41"/>
      <c r="AB54" s="38"/>
      <c r="AC54" s="26"/>
      <c r="AD54" s="38"/>
      <c r="AE54" s="98"/>
      <c r="AF54" s="99"/>
      <c r="AG54" s="101"/>
      <c r="AH54" s="88"/>
      <c r="AI54" s="26"/>
      <c r="AJ54" s="38"/>
      <c r="AK54" s="26"/>
      <c r="AL54" s="38"/>
      <c r="AM54" s="26"/>
      <c r="AN54" s="38"/>
      <c r="AO54" s="26"/>
      <c r="AP54" s="38"/>
      <c r="AQ54" s="26"/>
      <c r="AR54" s="38"/>
      <c r="AS54" s="101">
        <v>245432.3</v>
      </c>
      <c r="AT54" s="88">
        <v>196345.84</v>
      </c>
      <c r="AU54" s="24"/>
      <c r="AV54" s="74"/>
    </row>
    <row r="55" spans="1:48" ht="12.75">
      <c r="A55" s="27" t="s">
        <v>52</v>
      </c>
      <c r="B55" s="17">
        <v>51</v>
      </c>
      <c r="C55" s="90">
        <v>0.008589127186716401</v>
      </c>
      <c r="D55" s="111">
        <v>273894.4434100597</v>
      </c>
      <c r="E55" s="37">
        <v>303558.0916288694</v>
      </c>
      <c r="F55" s="85">
        <f>C55*Allocations!$B$6</f>
        <v>274852.06997492485</v>
      </c>
      <c r="G55" s="85">
        <f t="shared" si="12"/>
        <v>852304.6050138541</v>
      </c>
      <c r="H55" s="86">
        <f t="shared" si="13"/>
        <v>284101.53500461805</v>
      </c>
      <c r="I55" s="62">
        <v>811717.9518823134</v>
      </c>
      <c r="J55" s="61">
        <f t="shared" si="6"/>
        <v>1086570.0218572381</v>
      </c>
      <c r="K55" s="58">
        <f t="shared" si="7"/>
        <v>567534.88</v>
      </c>
      <c r="L55" s="58">
        <f t="shared" si="8"/>
        <v>454027.9</v>
      </c>
      <c r="M55" s="58">
        <f t="shared" si="10"/>
        <v>632542.1218572381</v>
      </c>
      <c r="N55" s="55">
        <f t="shared" si="14"/>
        <v>2.2264649919858974</v>
      </c>
      <c r="O55" s="58"/>
      <c r="P55" s="21"/>
      <c r="Q55" s="21"/>
      <c r="R55" s="21"/>
      <c r="S55" s="59">
        <f t="shared" si="15"/>
        <v>0</v>
      </c>
      <c r="T55" s="65">
        <f t="shared" si="16"/>
        <v>274852.06997492485</v>
      </c>
      <c r="U55" s="64">
        <f t="shared" si="17"/>
        <v>0.008902938936603105</v>
      </c>
      <c r="V55" s="58">
        <f t="shared" si="11"/>
        <v>5177.918722665717</v>
      </c>
      <c r="W55" s="37">
        <f>C55*Allocations!$B$9</f>
        <v>284446.12504248705</v>
      </c>
      <c r="X55" s="62">
        <f t="shared" si="9"/>
        <v>647314.0956474661</v>
      </c>
      <c r="Y55" s="40"/>
      <c r="Z55" s="37"/>
      <c r="AA55" s="40"/>
      <c r="AB55" s="37"/>
      <c r="AC55" s="18"/>
      <c r="AD55" s="37"/>
      <c r="AE55" s="97"/>
      <c r="AF55" s="36"/>
      <c r="AG55" s="96"/>
      <c r="AH55" s="86"/>
      <c r="AI55" s="18"/>
      <c r="AJ55" s="37"/>
      <c r="AK55" s="96">
        <v>325320.88</v>
      </c>
      <c r="AL55" s="86">
        <v>260256.7</v>
      </c>
      <c r="AM55" s="18"/>
      <c r="AN55" s="37"/>
      <c r="AO55" s="96">
        <v>242214</v>
      </c>
      <c r="AP55" s="86">
        <v>193771.2</v>
      </c>
      <c r="AQ55" s="18"/>
      <c r="AR55" s="37"/>
      <c r="AS55" s="18"/>
      <c r="AT55" s="37"/>
      <c r="AU55" s="20"/>
      <c r="AV55" s="73"/>
    </row>
    <row r="56" spans="1:48" ht="12.75">
      <c r="A56" s="27" t="s">
        <v>53</v>
      </c>
      <c r="B56" s="17">
        <v>52</v>
      </c>
      <c r="C56" s="90">
        <v>0.010479587512146114</v>
      </c>
      <c r="D56" s="111">
        <v>363026.6242200838</v>
      </c>
      <c r="E56" s="37">
        <v>313344.7035426123</v>
      </c>
      <c r="F56" s="85">
        <f>C56*Allocations!$B$6</f>
        <v>335346.80038867565</v>
      </c>
      <c r="G56" s="85">
        <f t="shared" si="12"/>
        <v>1011718.1281513718</v>
      </c>
      <c r="H56" s="86">
        <f t="shared" si="13"/>
        <v>337239.3760504573</v>
      </c>
      <c r="I56" s="62">
        <v>579467.5357810673</v>
      </c>
      <c r="J56" s="61">
        <f t="shared" si="6"/>
        <v>914814.336169743</v>
      </c>
      <c r="K56" s="58">
        <f t="shared" si="7"/>
        <v>0</v>
      </c>
      <c r="L56" s="58">
        <f t="shared" si="8"/>
        <v>0</v>
      </c>
      <c r="M56" s="58">
        <f t="shared" si="10"/>
        <v>914814.336169743</v>
      </c>
      <c r="N56" s="55">
        <f t="shared" si="14"/>
        <v>2.712655760675081</v>
      </c>
      <c r="O56" s="58"/>
      <c r="P56" s="21"/>
      <c r="Q56" s="21"/>
      <c r="R56" s="21"/>
      <c r="S56" s="59">
        <f t="shared" si="15"/>
        <v>0</v>
      </c>
      <c r="T56" s="65">
        <f t="shared" si="16"/>
        <v>335346.80038867565</v>
      </c>
      <c r="U56" s="64">
        <f t="shared" si="17"/>
        <v>0.010862468988201498</v>
      </c>
      <c r="V56" s="58">
        <f t="shared" si="11"/>
        <v>6317.574673812645</v>
      </c>
      <c r="W56" s="37">
        <f>C56*Allocations!$B$9</f>
        <v>347052.49963974283</v>
      </c>
      <c r="X56" s="62">
        <f t="shared" si="9"/>
        <v>932837.6100946227</v>
      </c>
      <c r="Y56" s="40"/>
      <c r="Z56" s="37"/>
      <c r="AA56" s="40"/>
      <c r="AB56" s="37"/>
      <c r="AC56" s="18"/>
      <c r="AD56" s="37"/>
      <c r="AE56" s="97"/>
      <c r="AF56" s="36"/>
      <c r="AG56" s="96"/>
      <c r="AH56" s="86"/>
      <c r="AI56" s="18"/>
      <c r="AJ56" s="37"/>
      <c r="AK56" s="18"/>
      <c r="AL56" s="37"/>
      <c r="AM56" s="18"/>
      <c r="AN56" s="37"/>
      <c r="AO56" s="18"/>
      <c r="AP56" s="37"/>
      <c r="AQ56" s="18"/>
      <c r="AR56" s="37"/>
      <c r="AS56" s="18"/>
      <c r="AT56" s="37"/>
      <c r="AU56" s="20"/>
      <c r="AV56" s="73"/>
    </row>
    <row r="57" spans="1:48" ht="12.75">
      <c r="A57" s="27" t="s">
        <v>54</v>
      </c>
      <c r="B57" s="17">
        <v>53</v>
      </c>
      <c r="C57" s="90">
        <v>0.008685767904751084</v>
      </c>
      <c r="D57" s="111">
        <v>325207.2031663044</v>
      </c>
      <c r="E57" s="37">
        <v>288924.6551373336</v>
      </c>
      <c r="F57" s="85">
        <f>C57*Allocations!$B$6</f>
        <v>277944.57295203465</v>
      </c>
      <c r="G57" s="85">
        <f t="shared" si="12"/>
        <v>892076.4312556726</v>
      </c>
      <c r="H57" s="86">
        <f t="shared" si="13"/>
        <v>297358.81041855755</v>
      </c>
      <c r="I57" s="62">
        <v>746139.021819094</v>
      </c>
      <c r="J57" s="61">
        <f t="shared" si="6"/>
        <v>1024083.5947711286</v>
      </c>
      <c r="K57" s="58">
        <f t="shared" si="7"/>
        <v>145460</v>
      </c>
      <c r="L57" s="58">
        <f t="shared" si="8"/>
        <v>116368</v>
      </c>
      <c r="M57" s="58">
        <f t="shared" si="10"/>
        <v>907715.5947711286</v>
      </c>
      <c r="N57" s="55">
        <f t="shared" si="14"/>
        <v>3.052593577077614</v>
      </c>
      <c r="O57" s="58"/>
      <c r="P57" s="21"/>
      <c r="Q57" s="21"/>
      <c r="R57" s="21"/>
      <c r="S57" s="59">
        <f t="shared" si="15"/>
        <v>15639.16351545602</v>
      </c>
      <c r="T57" s="65">
        <f t="shared" si="16"/>
        <v>0</v>
      </c>
      <c r="U57" s="64">
        <f t="shared" si="17"/>
        <v>0</v>
      </c>
      <c r="V57" s="58">
        <f t="shared" si="11"/>
        <v>0</v>
      </c>
      <c r="W57" s="37">
        <f>C57*Allocations!$B$9</f>
        <v>287646.5757016416</v>
      </c>
      <c r="X57" s="62">
        <f t="shared" si="9"/>
        <v>901778.4340052796</v>
      </c>
      <c r="Y57" s="40"/>
      <c r="Z57" s="37"/>
      <c r="AA57" s="40"/>
      <c r="AB57" s="37"/>
      <c r="AC57" s="18"/>
      <c r="AD57" s="37"/>
      <c r="AE57" s="97"/>
      <c r="AF57" s="36"/>
      <c r="AG57" s="96"/>
      <c r="AH57" s="86"/>
      <c r="AI57" s="96"/>
      <c r="AJ57" s="86"/>
      <c r="AK57" s="18"/>
      <c r="AL57" s="37"/>
      <c r="AM57" s="96">
        <v>145460</v>
      </c>
      <c r="AN57" s="86">
        <v>116368</v>
      </c>
      <c r="AO57" s="18"/>
      <c r="AP57" s="37"/>
      <c r="AQ57" s="18"/>
      <c r="AR57" s="37"/>
      <c r="AS57" s="18"/>
      <c r="AT57" s="37"/>
      <c r="AU57" s="20"/>
      <c r="AV57" s="73"/>
    </row>
    <row r="58" spans="1:48" ht="12.75">
      <c r="A58" s="27" t="s">
        <v>55</v>
      </c>
      <c r="B58" s="17">
        <v>54</v>
      </c>
      <c r="C58" s="90">
        <v>0.010692216636897699</v>
      </c>
      <c r="D58" s="111">
        <v>326533.0515750757</v>
      </c>
      <c r="E58" s="37">
        <v>329403.6193776807</v>
      </c>
      <c r="F58" s="85">
        <f>C58*Allocations!$B$6</f>
        <v>342150.9323807264</v>
      </c>
      <c r="G58" s="85">
        <f t="shared" si="12"/>
        <v>998087.6033334828</v>
      </c>
      <c r="H58" s="86">
        <f t="shared" si="13"/>
        <v>332695.8677778276</v>
      </c>
      <c r="I58" s="62">
        <v>-171475.54699742363</v>
      </c>
      <c r="J58" s="61">
        <f t="shared" si="6"/>
        <v>170675.38538330275</v>
      </c>
      <c r="K58" s="58">
        <f t="shared" si="7"/>
        <v>712020.25</v>
      </c>
      <c r="L58" s="58">
        <f t="shared" si="8"/>
        <v>569616.2</v>
      </c>
      <c r="M58" s="58">
        <f t="shared" si="10"/>
        <v>-398940.8146166972</v>
      </c>
      <c r="N58" s="55">
        <f t="shared" si="14"/>
        <v>-1.1991156285809585</v>
      </c>
      <c r="O58" s="58"/>
      <c r="P58" s="21"/>
      <c r="Q58" s="21"/>
      <c r="R58" s="21"/>
      <c r="S58" s="59">
        <f t="shared" si="15"/>
        <v>0</v>
      </c>
      <c r="T58" s="65">
        <f t="shared" si="16"/>
        <v>342150.9323807264</v>
      </c>
      <c r="U58" s="64">
        <f t="shared" si="17"/>
        <v>0.011082866715776707</v>
      </c>
      <c r="V58" s="58">
        <f t="shared" si="11"/>
        <v>6445.75723556793</v>
      </c>
      <c r="W58" s="37">
        <f>C58*Allocations!$B$9</f>
        <v>354094.1383641411</v>
      </c>
      <c r="X58" s="62">
        <f t="shared" si="9"/>
        <v>-380551.8513977146</v>
      </c>
      <c r="Y58" s="40"/>
      <c r="Z58" s="37"/>
      <c r="AA58" s="40"/>
      <c r="AB58" s="37"/>
      <c r="AC58" s="18"/>
      <c r="AD58" s="37"/>
      <c r="AE58" s="97"/>
      <c r="AF58" s="36"/>
      <c r="AG58" s="96"/>
      <c r="AH58" s="86"/>
      <c r="AI58" s="18"/>
      <c r="AJ58" s="37"/>
      <c r="AK58" s="18"/>
      <c r="AL58" s="37"/>
      <c r="AM58" s="96">
        <v>712020.25</v>
      </c>
      <c r="AN58" s="86">
        <v>569616.2</v>
      </c>
      <c r="AO58" s="18"/>
      <c r="AP58" s="37"/>
      <c r="AQ58" s="18"/>
      <c r="AR58" s="37"/>
      <c r="AS58" s="96"/>
      <c r="AT58" s="86"/>
      <c r="AU58" s="20"/>
      <c r="AV58" s="73"/>
    </row>
    <row r="59" spans="1:48" ht="12.75">
      <c r="A59" s="22" t="s">
        <v>56</v>
      </c>
      <c r="B59" s="23">
        <v>55</v>
      </c>
      <c r="C59" s="91">
        <v>0.01004579824458126</v>
      </c>
      <c r="D59" s="112">
        <v>375872.1947356527</v>
      </c>
      <c r="E59" s="38">
        <v>294778.2719568722</v>
      </c>
      <c r="F59" s="87">
        <f>C59*Allocations!$B$6</f>
        <v>321465.5438266003</v>
      </c>
      <c r="G59" s="87">
        <f t="shared" si="12"/>
        <v>992116.0105191253</v>
      </c>
      <c r="H59" s="88">
        <f t="shared" si="13"/>
        <v>330705.33683970844</v>
      </c>
      <c r="I59" s="105">
        <v>283601.92190658004</v>
      </c>
      <c r="J59" s="92">
        <f t="shared" si="6"/>
        <v>605067.4657331803</v>
      </c>
      <c r="K59" s="60">
        <f t="shared" si="7"/>
        <v>767511.7</v>
      </c>
      <c r="L59" s="60">
        <f t="shared" si="8"/>
        <v>614009.36</v>
      </c>
      <c r="M59" s="60">
        <f t="shared" si="10"/>
        <v>-8941.894266819698</v>
      </c>
      <c r="N59" s="56">
        <f t="shared" si="14"/>
        <v>-0.02703885686354617</v>
      </c>
      <c r="O59" s="60"/>
      <c r="P59" s="25"/>
      <c r="Q59" s="25"/>
      <c r="R59" s="25"/>
      <c r="S59" s="41">
        <f t="shared" si="15"/>
        <v>0</v>
      </c>
      <c r="T59" s="66">
        <f t="shared" si="16"/>
        <v>321465.5438266003</v>
      </c>
      <c r="U59" s="67">
        <f t="shared" si="17"/>
        <v>0.01041283082631044</v>
      </c>
      <c r="V59" s="60">
        <f t="shared" si="11"/>
        <v>6056.066662417812</v>
      </c>
      <c r="W59" s="38">
        <f>C59*Allocations!$B$9</f>
        <v>332686.70046579756</v>
      </c>
      <c r="X59" s="106">
        <f t="shared" si="9"/>
        <v>8335.329034795403</v>
      </c>
      <c r="Y59" s="41"/>
      <c r="Z59" s="38"/>
      <c r="AA59" s="109"/>
      <c r="AB59" s="88"/>
      <c r="AC59" s="26"/>
      <c r="AD59" s="38"/>
      <c r="AE59" s="98"/>
      <c r="AF59" s="99"/>
      <c r="AG59" s="101"/>
      <c r="AH59" s="88"/>
      <c r="AI59" s="101">
        <v>668164.2</v>
      </c>
      <c r="AJ59" s="88">
        <v>534531.36</v>
      </c>
      <c r="AK59" s="26"/>
      <c r="AL59" s="38"/>
      <c r="AM59" s="26"/>
      <c r="AN59" s="38"/>
      <c r="AO59" s="26"/>
      <c r="AP59" s="38"/>
      <c r="AQ59" s="101">
        <v>99347.5</v>
      </c>
      <c r="AR59" s="88">
        <v>79478</v>
      </c>
      <c r="AS59" s="26"/>
      <c r="AT59" s="38"/>
      <c r="AU59" s="24"/>
      <c r="AV59" s="74"/>
    </row>
    <row r="60" spans="1:48" ht="12.75">
      <c r="A60" s="27" t="s">
        <v>57</v>
      </c>
      <c r="B60" s="17">
        <v>56</v>
      </c>
      <c r="C60" s="90">
        <v>0.005982573195153802</v>
      </c>
      <c r="D60" s="111">
        <v>265671.85192299064</v>
      </c>
      <c r="E60" s="37">
        <v>233801.53840038288</v>
      </c>
      <c r="F60" s="85">
        <f>C60*Allocations!$B$6</f>
        <v>191442.34224492166</v>
      </c>
      <c r="G60" s="85">
        <f t="shared" si="12"/>
        <v>690915.7325682952</v>
      </c>
      <c r="H60" s="86">
        <f t="shared" si="13"/>
        <v>230305.24418943175</v>
      </c>
      <c r="I60" s="62">
        <v>401626.00493522687</v>
      </c>
      <c r="J60" s="61">
        <f t="shared" si="6"/>
        <v>593068.3471801486</v>
      </c>
      <c r="K60" s="58">
        <f t="shared" si="7"/>
        <v>0</v>
      </c>
      <c r="L60" s="58">
        <f t="shared" si="8"/>
        <v>0</v>
      </c>
      <c r="M60" s="58">
        <f t="shared" si="10"/>
        <v>593068.3471801486</v>
      </c>
      <c r="N60" s="55">
        <f t="shared" si="14"/>
        <v>2.5751404370641913</v>
      </c>
      <c r="O60" s="58"/>
      <c r="P60" s="21"/>
      <c r="Q60" s="21"/>
      <c r="R60" s="21"/>
      <c r="S60" s="59">
        <f t="shared" si="15"/>
        <v>0</v>
      </c>
      <c r="T60" s="65">
        <f t="shared" si="16"/>
        <v>191442.34224492166</v>
      </c>
      <c r="U60" s="64">
        <f t="shared" si="17"/>
        <v>0.006201152070793228</v>
      </c>
      <c r="V60" s="58">
        <f t="shared" si="11"/>
        <v>3606.5687564637697</v>
      </c>
      <c r="W60" s="37">
        <f>C60*Allocations!$B$9</f>
        <v>198124.87650390845</v>
      </c>
      <c r="X60" s="62">
        <f t="shared" si="9"/>
        <v>603357.4501955991</v>
      </c>
      <c r="Y60" s="40"/>
      <c r="Z60" s="37"/>
      <c r="AA60" s="40"/>
      <c r="AB60" s="37"/>
      <c r="AC60" s="18"/>
      <c r="AD60" s="37"/>
      <c r="AE60" s="97"/>
      <c r="AF60" s="36"/>
      <c r="AG60" s="96"/>
      <c r="AH60" s="86"/>
      <c r="AI60" s="18"/>
      <c r="AJ60" s="37"/>
      <c r="AK60" s="18"/>
      <c r="AL60" s="37"/>
      <c r="AM60" s="18"/>
      <c r="AN60" s="37"/>
      <c r="AO60" s="18"/>
      <c r="AP60" s="37"/>
      <c r="AQ60" s="18"/>
      <c r="AR60" s="37"/>
      <c r="AS60" s="18"/>
      <c r="AT60" s="37"/>
      <c r="AU60" s="20"/>
      <c r="AV60" s="73"/>
    </row>
    <row r="61" spans="1:48" ht="12.75">
      <c r="A61" s="27" t="s">
        <v>58</v>
      </c>
      <c r="B61" s="17">
        <v>57</v>
      </c>
      <c r="C61" s="90">
        <v>0.010379980757913678</v>
      </c>
      <c r="D61" s="111">
        <v>475616.6056742456</v>
      </c>
      <c r="E61" s="37">
        <v>429769.8188542633</v>
      </c>
      <c r="F61" s="85">
        <f>C61*Allocations!$B$6</f>
        <v>332159.3842532377</v>
      </c>
      <c r="G61" s="85">
        <f t="shared" si="12"/>
        <v>1237545.8087817465</v>
      </c>
      <c r="H61" s="86">
        <f t="shared" si="13"/>
        <v>412515.2695939155</v>
      </c>
      <c r="I61" s="62">
        <v>1056515.7964764345</v>
      </c>
      <c r="J61" s="61">
        <f t="shared" si="6"/>
        <v>1388675.180729672</v>
      </c>
      <c r="K61" s="58">
        <f t="shared" si="7"/>
        <v>811724.15</v>
      </c>
      <c r="L61" s="58">
        <f t="shared" si="8"/>
        <v>649379.32</v>
      </c>
      <c r="M61" s="58">
        <f t="shared" si="10"/>
        <v>739295.8607296721</v>
      </c>
      <c r="N61" s="55">
        <f t="shared" si="14"/>
        <v>1.7921660486833444</v>
      </c>
      <c r="O61" s="58"/>
      <c r="P61" s="21"/>
      <c r="Q61" s="21"/>
      <c r="R61" s="21"/>
      <c r="S61" s="59">
        <f t="shared" si="15"/>
        <v>0</v>
      </c>
      <c r="T61" s="65">
        <f t="shared" si="16"/>
        <v>332159.3842532377</v>
      </c>
      <c r="U61" s="64">
        <f t="shared" si="17"/>
        <v>0.010759223008566212</v>
      </c>
      <c r="V61" s="58">
        <f t="shared" si="11"/>
        <v>6257.527166489464</v>
      </c>
      <c r="W61" s="37">
        <f>C61*Allocations!$B$9</f>
        <v>343753.8227598273</v>
      </c>
      <c r="X61" s="62">
        <f t="shared" si="9"/>
        <v>757147.8264027513</v>
      </c>
      <c r="Y61" s="40"/>
      <c r="Z61" s="37"/>
      <c r="AA61" s="40"/>
      <c r="AB61" s="37"/>
      <c r="AC61" s="96">
        <v>811724.15</v>
      </c>
      <c r="AD61" s="86">
        <v>649379.32</v>
      </c>
      <c r="AE61" s="97"/>
      <c r="AF61" s="36"/>
      <c r="AG61" s="96"/>
      <c r="AH61" s="86"/>
      <c r="AI61" s="84"/>
      <c r="AJ61" s="45"/>
      <c r="AK61" s="18"/>
      <c r="AL61" s="37"/>
      <c r="AM61" s="18"/>
      <c r="AN61" s="37"/>
      <c r="AO61" s="18"/>
      <c r="AP61" s="37"/>
      <c r="AQ61" s="18"/>
      <c r="AR61" s="37"/>
      <c r="AS61" s="18"/>
      <c r="AT61" s="37"/>
      <c r="AU61" s="20"/>
      <c r="AV61" s="73"/>
    </row>
    <row r="62" spans="1:48" ht="12.75">
      <c r="A62" s="27" t="s">
        <v>59</v>
      </c>
      <c r="B62" s="17">
        <v>58</v>
      </c>
      <c r="C62" s="90">
        <v>0.010963959963495792</v>
      </c>
      <c r="D62" s="111">
        <v>328732.05886647187</v>
      </c>
      <c r="E62" s="37">
        <v>309928.163601164</v>
      </c>
      <c r="F62" s="85">
        <f>C62*Allocations!$B$6</f>
        <v>350846.71883186535</v>
      </c>
      <c r="G62" s="85">
        <f t="shared" si="12"/>
        <v>989506.9412995012</v>
      </c>
      <c r="H62" s="86">
        <f t="shared" si="13"/>
        <v>329835.64709983376</v>
      </c>
      <c r="I62" s="62">
        <v>-351970.7359757209</v>
      </c>
      <c r="J62" s="61">
        <f t="shared" si="6"/>
        <v>-1124.0171438555699</v>
      </c>
      <c r="K62" s="58">
        <f t="shared" si="7"/>
        <v>792576.8</v>
      </c>
      <c r="L62" s="58">
        <f t="shared" si="8"/>
        <v>634061.44</v>
      </c>
      <c r="M62" s="58">
        <f t="shared" si="10"/>
        <v>-635185.4571438555</v>
      </c>
      <c r="N62" s="55">
        <f t="shared" si="14"/>
        <v>-1.9257635211017665</v>
      </c>
      <c r="O62" s="58"/>
      <c r="P62" s="21"/>
      <c r="Q62" s="21"/>
      <c r="R62" s="21"/>
      <c r="S62" s="59">
        <f t="shared" si="15"/>
        <v>0</v>
      </c>
      <c r="T62" s="65">
        <f t="shared" si="16"/>
        <v>350846.71883186535</v>
      </c>
      <c r="U62" s="64">
        <f t="shared" si="17"/>
        <v>0.011364538437540686</v>
      </c>
      <c r="V62" s="58">
        <f t="shared" si="11"/>
        <v>6609.576541996159</v>
      </c>
      <c r="W62" s="37">
        <f>C62*Allocations!$B$9</f>
        <v>363093.46211109014</v>
      </c>
      <c r="X62" s="62">
        <f t="shared" si="9"/>
        <v>-616329.1373226345</v>
      </c>
      <c r="Y62" s="40"/>
      <c r="Z62" s="37"/>
      <c r="AA62" s="40"/>
      <c r="AB62" s="37"/>
      <c r="AC62" s="18"/>
      <c r="AD62" s="37"/>
      <c r="AE62" s="97"/>
      <c r="AF62" s="36"/>
      <c r="AG62" s="96"/>
      <c r="AH62" s="86"/>
      <c r="AI62" s="18"/>
      <c r="AJ62" s="37"/>
      <c r="AK62" s="18"/>
      <c r="AL62" s="37"/>
      <c r="AM62" s="18"/>
      <c r="AN62" s="37"/>
      <c r="AO62" s="18"/>
      <c r="AP62" s="37"/>
      <c r="AQ62" s="96">
        <v>792576.8</v>
      </c>
      <c r="AR62" s="86">
        <v>634061.44</v>
      </c>
      <c r="AS62" s="18"/>
      <c r="AT62" s="37"/>
      <c r="AU62" s="20"/>
      <c r="AV62" s="73"/>
    </row>
    <row r="63" spans="1:49" ht="12.75">
      <c r="A63" s="27" t="s">
        <v>60</v>
      </c>
      <c r="B63" s="17">
        <v>59</v>
      </c>
      <c r="C63" s="90">
        <v>0.007900443854216782</v>
      </c>
      <c r="D63" s="111">
        <v>246469.9203368936</v>
      </c>
      <c r="E63" s="37">
        <v>249282.85588280152</v>
      </c>
      <c r="F63" s="85">
        <f>C63*Allocations!$B$6</f>
        <v>252814.20333493705</v>
      </c>
      <c r="G63" s="85">
        <f t="shared" si="12"/>
        <v>748566.9795546322</v>
      </c>
      <c r="H63" s="86">
        <f t="shared" si="13"/>
        <v>249522.32651821073</v>
      </c>
      <c r="I63" s="62">
        <v>201385.9267508388</v>
      </c>
      <c r="J63" s="61">
        <f t="shared" si="6"/>
        <v>454200.13008577586</v>
      </c>
      <c r="K63" s="58">
        <f t="shared" si="7"/>
        <v>0</v>
      </c>
      <c r="L63" s="58">
        <f t="shared" si="8"/>
        <v>0</v>
      </c>
      <c r="M63" s="58">
        <f t="shared" si="10"/>
        <v>454200.13008577586</v>
      </c>
      <c r="N63" s="55">
        <f t="shared" si="14"/>
        <v>1.820278515448305</v>
      </c>
      <c r="O63" s="58"/>
      <c r="P63" s="21"/>
      <c r="Q63" s="21"/>
      <c r="R63" s="21"/>
      <c r="S63" s="59">
        <f t="shared" si="15"/>
        <v>0</v>
      </c>
      <c r="T63" s="65">
        <f t="shared" si="16"/>
        <v>252814.20333493705</v>
      </c>
      <c r="U63" s="64">
        <f t="shared" si="17"/>
        <v>0.008189093918056532</v>
      </c>
      <c r="V63" s="58">
        <f t="shared" si="11"/>
        <v>4762.748910434673</v>
      </c>
      <c r="W63" s="37">
        <f>C63*Allocations!$B$9</f>
        <v>261638.99912009717</v>
      </c>
      <c r="X63" s="62">
        <f t="shared" si="9"/>
        <v>467787.6747813706</v>
      </c>
      <c r="Y63" s="40"/>
      <c r="Z63" s="37"/>
      <c r="AA63" s="40"/>
      <c r="AB63" s="37"/>
      <c r="AC63" s="18"/>
      <c r="AD63" s="37"/>
      <c r="AE63" s="97"/>
      <c r="AF63" s="36"/>
      <c r="AG63" s="96"/>
      <c r="AH63" s="86"/>
      <c r="AI63" s="18"/>
      <c r="AJ63" s="37"/>
      <c r="AK63" s="18"/>
      <c r="AL63" s="37"/>
      <c r="AM63" s="18"/>
      <c r="AN63" s="37"/>
      <c r="AO63" s="18"/>
      <c r="AP63" s="37"/>
      <c r="AQ63" s="18"/>
      <c r="AR63" s="37"/>
      <c r="AS63" s="18"/>
      <c r="AT63" s="37"/>
      <c r="AU63" s="125"/>
      <c r="AV63" s="126"/>
      <c r="AW63" s="127"/>
    </row>
    <row r="64" spans="1:49" ht="12.75">
      <c r="A64" s="22" t="s">
        <v>61</v>
      </c>
      <c r="B64" s="23">
        <v>60</v>
      </c>
      <c r="C64" s="91">
        <v>0.012241192015663857</v>
      </c>
      <c r="D64" s="112">
        <v>394481.41581937607</v>
      </c>
      <c r="E64" s="38">
        <v>405348.4665755405</v>
      </c>
      <c r="F64" s="87">
        <f>C64*Allocations!$B$6</f>
        <v>391718.1445012434</v>
      </c>
      <c r="G64" s="87">
        <f t="shared" si="12"/>
        <v>1191548.02689616</v>
      </c>
      <c r="H64" s="88">
        <f t="shared" si="13"/>
        <v>397182.67563205335</v>
      </c>
      <c r="I64" s="105">
        <v>896925.8836410735</v>
      </c>
      <c r="J64" s="92">
        <f t="shared" si="6"/>
        <v>1288644.028142317</v>
      </c>
      <c r="K64" s="60">
        <f t="shared" si="7"/>
        <v>0</v>
      </c>
      <c r="L64" s="60">
        <f t="shared" si="8"/>
        <v>0</v>
      </c>
      <c r="M64" s="60">
        <f t="shared" si="10"/>
        <v>1288644.028142317</v>
      </c>
      <c r="N64" s="56">
        <f t="shared" si="14"/>
        <v>3.244461823748088</v>
      </c>
      <c r="O64" s="60"/>
      <c r="P64" s="25"/>
      <c r="Q64" s="25">
        <v>449434.93</v>
      </c>
      <c r="R64" s="25">
        <v>359547.94</v>
      </c>
      <c r="S64" s="130">
        <f t="shared" si="15"/>
        <v>0</v>
      </c>
      <c r="T64" s="66">
        <f t="shared" si="16"/>
        <v>391718.1445012434</v>
      </c>
      <c r="U64" s="67">
        <f t="shared" si="17"/>
        <v>0.01268843535059498</v>
      </c>
      <c r="V64" s="60">
        <f t="shared" si="11"/>
        <v>7379.55044182824</v>
      </c>
      <c r="W64" s="38">
        <f>C64*Allocations!$B$9</f>
        <v>405391.55598273996</v>
      </c>
      <c r="X64" s="106">
        <f t="shared" si="9"/>
        <v>1309696.9900656417</v>
      </c>
      <c r="Y64" s="41"/>
      <c r="Z64" s="38"/>
      <c r="AA64" s="109"/>
      <c r="AB64" s="88"/>
      <c r="AC64" s="26"/>
      <c r="AD64" s="38"/>
      <c r="AE64" s="98"/>
      <c r="AF64" s="99"/>
      <c r="AG64" s="101"/>
      <c r="AH64" s="88"/>
      <c r="AI64" s="26"/>
      <c r="AJ64" s="38"/>
      <c r="AK64" s="26"/>
      <c r="AL64" s="38"/>
      <c r="AM64" s="26"/>
      <c r="AN64" s="38"/>
      <c r="AO64" s="26"/>
      <c r="AP64" s="38"/>
      <c r="AQ64" s="26"/>
      <c r="AR64" s="38"/>
      <c r="AS64" s="26"/>
      <c r="AT64" s="38"/>
      <c r="AU64" s="24"/>
      <c r="AV64" s="74"/>
      <c r="AW64" s="131" t="s">
        <v>150</v>
      </c>
    </row>
    <row r="65" spans="1:48" ht="12.75">
      <c r="A65" s="27" t="s">
        <v>62</v>
      </c>
      <c r="B65" s="17">
        <v>61</v>
      </c>
      <c r="C65" s="90">
        <v>0.01604563426015821</v>
      </c>
      <c r="D65" s="111">
        <v>492389.30593039095</v>
      </c>
      <c r="E65" s="37">
        <v>473601.0268341102</v>
      </c>
      <c r="F65" s="85">
        <f>C65*Allocations!$B$6</f>
        <v>513460.29632506275</v>
      </c>
      <c r="G65" s="85">
        <f t="shared" si="12"/>
        <v>1479450.629089564</v>
      </c>
      <c r="H65" s="86">
        <f t="shared" si="13"/>
        <v>493150.20969652134</v>
      </c>
      <c r="I65" s="62">
        <v>1417613.385424476</v>
      </c>
      <c r="J65" s="61">
        <f t="shared" si="6"/>
        <v>1931073.6817495385</v>
      </c>
      <c r="K65" s="58">
        <f t="shared" si="7"/>
        <v>90000</v>
      </c>
      <c r="L65" s="58">
        <f t="shared" si="8"/>
        <v>72000</v>
      </c>
      <c r="M65" s="58">
        <f t="shared" si="10"/>
        <v>1859073.6817495385</v>
      </c>
      <c r="N65" s="55">
        <f>M65/H65</f>
        <v>3.7697919319421764</v>
      </c>
      <c r="O65" s="58"/>
      <c r="P65" s="21"/>
      <c r="Q65" s="21"/>
      <c r="R65" s="21"/>
      <c r="S65" s="59">
        <f t="shared" si="15"/>
        <v>379623.05265997443</v>
      </c>
      <c r="T65" s="65">
        <f t="shared" si="16"/>
        <v>0</v>
      </c>
      <c r="U65" s="64">
        <f t="shared" si="17"/>
        <v>0</v>
      </c>
      <c r="V65" s="58">
        <f t="shared" si="11"/>
        <v>0</v>
      </c>
      <c r="W65" s="37">
        <f>C65*Allocations!$B$9</f>
        <v>531383.2697936594</v>
      </c>
      <c r="X65" s="62">
        <f t="shared" si="9"/>
        <v>1497373.602558161</v>
      </c>
      <c r="Y65" s="42"/>
      <c r="Z65" s="45"/>
      <c r="AA65" s="40"/>
      <c r="AB65" s="37"/>
      <c r="AC65" s="18"/>
      <c r="AD65" s="37"/>
      <c r="AE65" s="96"/>
      <c r="AF65" s="86"/>
      <c r="AG65" s="96"/>
      <c r="AH65" s="86"/>
      <c r="AI65" s="18"/>
      <c r="AJ65" s="37"/>
      <c r="AK65" s="18"/>
      <c r="AL65" s="37"/>
      <c r="AM65" s="18"/>
      <c r="AN65" s="37"/>
      <c r="AO65" s="18">
        <v>90000</v>
      </c>
      <c r="AP65" s="37">
        <v>72000</v>
      </c>
      <c r="AQ65" s="18"/>
      <c r="AR65" s="37"/>
      <c r="AS65" s="18"/>
      <c r="AT65" s="37"/>
      <c r="AU65" s="20"/>
      <c r="AV65" s="73"/>
    </row>
    <row r="66" spans="1:48" ht="12.75">
      <c r="A66" s="27" t="s">
        <v>63</v>
      </c>
      <c r="B66" s="17">
        <v>62</v>
      </c>
      <c r="C66" s="90">
        <v>0.009283697296797944</v>
      </c>
      <c r="D66" s="111">
        <v>425329.6218179343</v>
      </c>
      <c r="E66" s="37">
        <v>314767.8973276659</v>
      </c>
      <c r="F66" s="85">
        <f>C66*Allocations!$B$6</f>
        <v>297078.3134975342</v>
      </c>
      <c r="G66" s="85">
        <f t="shared" si="12"/>
        <v>1037175.8326431345</v>
      </c>
      <c r="H66" s="86">
        <f t="shared" si="13"/>
        <v>345725.2775477115</v>
      </c>
      <c r="I66" s="62">
        <v>-336130.2824607613</v>
      </c>
      <c r="J66" s="61">
        <f t="shared" si="6"/>
        <v>-39051.96896322712</v>
      </c>
      <c r="K66" s="58">
        <f t="shared" si="7"/>
        <v>0</v>
      </c>
      <c r="L66" s="58">
        <f t="shared" si="8"/>
        <v>0</v>
      </c>
      <c r="M66" s="58">
        <f t="shared" si="10"/>
        <v>-39051.96896322712</v>
      </c>
      <c r="N66" s="55">
        <f t="shared" si="14"/>
        <v>-0.11295664939581337</v>
      </c>
      <c r="O66" s="58"/>
      <c r="P66" s="21"/>
      <c r="Q66" s="21"/>
      <c r="R66" s="21"/>
      <c r="S66" s="59">
        <f t="shared" si="15"/>
        <v>0</v>
      </c>
      <c r="T66" s="65">
        <f t="shared" si="16"/>
        <v>297078.3134975342</v>
      </c>
      <c r="U66" s="64">
        <f t="shared" si="17"/>
        <v>0.009622885811625417</v>
      </c>
      <c r="V66" s="58">
        <f t="shared" si="11"/>
        <v>5596.637353676012</v>
      </c>
      <c r="W66" s="37">
        <f>C66*Allocations!$B$9</f>
        <v>307448.2033780575</v>
      </c>
      <c r="X66" s="62">
        <f t="shared" si="9"/>
        <v>-23085.441729027778</v>
      </c>
      <c r="Y66" s="40"/>
      <c r="Z66" s="37"/>
      <c r="AA66" s="40"/>
      <c r="AB66" s="37"/>
      <c r="AC66" s="18"/>
      <c r="AD66" s="37"/>
      <c r="AE66" s="96"/>
      <c r="AF66" s="86"/>
      <c r="AG66" s="96"/>
      <c r="AH66" s="86"/>
      <c r="AI66" s="18"/>
      <c r="AJ66" s="37"/>
      <c r="AK66" s="96"/>
      <c r="AL66" s="86"/>
      <c r="AM66" s="18"/>
      <c r="AN66" s="37"/>
      <c r="AO66" s="96"/>
      <c r="AP66" s="86"/>
      <c r="AQ66" s="18"/>
      <c r="AR66" s="37"/>
      <c r="AS66" s="18"/>
      <c r="AT66" s="37"/>
      <c r="AU66" s="20"/>
      <c r="AV66" s="73"/>
    </row>
    <row r="67" spans="1:48" ht="12.75">
      <c r="A67" s="27" t="s">
        <v>64</v>
      </c>
      <c r="B67" s="17">
        <v>63</v>
      </c>
      <c r="C67" s="90">
        <v>0.011303893097887253</v>
      </c>
      <c r="D67" s="111">
        <v>377708.425881901</v>
      </c>
      <c r="E67" s="37">
        <v>356317.373434841</v>
      </c>
      <c r="F67" s="85">
        <f>C67*Allocations!$B$6</f>
        <v>361724.5791323921</v>
      </c>
      <c r="G67" s="85">
        <f t="shared" si="12"/>
        <v>1095750.378449134</v>
      </c>
      <c r="H67" s="86">
        <f t="shared" si="13"/>
        <v>365250.1261497114</v>
      </c>
      <c r="I67" s="62">
        <v>-693112.6926795666</v>
      </c>
      <c r="J67" s="61">
        <f t="shared" si="6"/>
        <v>-331388.1135471745</v>
      </c>
      <c r="K67" s="58">
        <f t="shared" si="7"/>
        <v>0</v>
      </c>
      <c r="L67" s="58">
        <f t="shared" si="8"/>
        <v>0</v>
      </c>
      <c r="M67" s="58">
        <f t="shared" si="10"/>
        <v>-331388.1135471745</v>
      </c>
      <c r="N67" s="55">
        <f t="shared" si="14"/>
        <v>-0.9072908941620536</v>
      </c>
      <c r="O67" s="58"/>
      <c r="P67" s="21"/>
      <c r="Q67" s="21"/>
      <c r="R67" s="21"/>
      <c r="S67" s="59">
        <f t="shared" si="15"/>
        <v>0</v>
      </c>
      <c r="T67" s="65">
        <f t="shared" si="16"/>
        <v>361724.5791323921</v>
      </c>
      <c r="U67" s="64">
        <f t="shared" si="17"/>
        <v>0.011716891345144123</v>
      </c>
      <c r="V67" s="58">
        <f t="shared" si="11"/>
        <v>6814.503783467463</v>
      </c>
      <c r="W67" s="37">
        <f>C67*Allocations!$B$9</f>
        <v>374351.02772273216</v>
      </c>
      <c r="X67" s="62">
        <f t="shared" si="9"/>
        <v>-311947.16117336694</v>
      </c>
      <c r="Y67" s="40"/>
      <c r="Z67" s="37"/>
      <c r="AA67" s="108"/>
      <c r="AB67" s="86"/>
      <c r="AC67" s="18"/>
      <c r="AD67" s="37"/>
      <c r="AE67" s="97"/>
      <c r="AF67" s="36"/>
      <c r="AG67" s="96"/>
      <c r="AH67" s="86"/>
      <c r="AI67" s="18"/>
      <c r="AJ67" s="37"/>
      <c r="AK67" s="18"/>
      <c r="AL67" s="37"/>
      <c r="AM67" s="18"/>
      <c r="AN67" s="37"/>
      <c r="AO67" s="18"/>
      <c r="AP67" s="37"/>
      <c r="AQ67" s="18"/>
      <c r="AR67" s="37"/>
      <c r="AS67" s="18"/>
      <c r="AT67" s="37"/>
      <c r="AU67" s="20"/>
      <c r="AV67" s="73"/>
    </row>
    <row r="68" spans="1:48" ht="12.75">
      <c r="A68" s="27" t="s">
        <v>65</v>
      </c>
      <c r="B68" s="17">
        <v>64</v>
      </c>
      <c r="C68" s="90">
        <v>0.010803615291896168</v>
      </c>
      <c r="D68" s="111">
        <v>370190.28872571205</v>
      </c>
      <c r="E68" s="37">
        <v>354529.94657884503</v>
      </c>
      <c r="F68" s="85">
        <f>C68*Allocations!$B$6</f>
        <v>345715.68934067735</v>
      </c>
      <c r="G68" s="85">
        <f t="shared" si="12"/>
        <v>1070435.9246452344</v>
      </c>
      <c r="H68" s="86">
        <f t="shared" si="13"/>
        <v>356811.97488174477</v>
      </c>
      <c r="I68" s="62">
        <v>686405.7519961454</v>
      </c>
      <c r="J68" s="61">
        <f t="shared" si="6"/>
        <v>1032121.4413368227</v>
      </c>
      <c r="K68" s="58">
        <f t="shared" si="7"/>
        <v>348366.47</v>
      </c>
      <c r="L68" s="58">
        <f t="shared" si="8"/>
        <v>278693.18</v>
      </c>
      <c r="M68" s="58">
        <f t="shared" si="10"/>
        <v>753428.2613368228</v>
      </c>
      <c r="N68" s="55">
        <f t="shared" si="14"/>
        <v>2.111555425197053</v>
      </c>
      <c r="O68" s="58"/>
      <c r="P68" s="21"/>
      <c r="Q68" s="21"/>
      <c r="R68" s="21"/>
      <c r="S68" s="59">
        <f t="shared" si="15"/>
        <v>0</v>
      </c>
      <c r="T68" s="65">
        <f t="shared" si="16"/>
        <v>345715.68934067735</v>
      </c>
      <c r="U68" s="64">
        <f t="shared" si="17"/>
        <v>0.011198335424239298</v>
      </c>
      <c r="V68" s="58">
        <f t="shared" si="11"/>
        <v>6512.913440017716</v>
      </c>
      <c r="W68" s="37">
        <f>C68*Allocations!$B$9</f>
        <v>357783.3276217254</v>
      </c>
      <c r="X68" s="62">
        <f t="shared" si="9"/>
        <v>772008.8130578885</v>
      </c>
      <c r="Y68" s="40"/>
      <c r="Z68" s="37"/>
      <c r="AA68" s="40"/>
      <c r="AB68" s="37"/>
      <c r="AC68" s="18"/>
      <c r="AD68" s="37"/>
      <c r="AE68" s="97"/>
      <c r="AF68" s="36"/>
      <c r="AG68" s="96"/>
      <c r="AH68" s="86"/>
      <c r="AI68" s="96">
        <v>348366.47</v>
      </c>
      <c r="AJ68" s="86">
        <v>278693.18</v>
      </c>
      <c r="AK68" s="18"/>
      <c r="AL68" s="37"/>
      <c r="AM68" s="18"/>
      <c r="AN68" s="37"/>
      <c r="AO68" s="18"/>
      <c r="AP68" s="37"/>
      <c r="AQ68" s="18"/>
      <c r="AR68" s="37"/>
      <c r="AS68" s="18"/>
      <c r="AT68" s="37"/>
      <c r="AU68" s="20"/>
      <c r="AV68" s="73"/>
    </row>
    <row r="69" spans="1:48" ht="12.75">
      <c r="A69" s="22" t="s">
        <v>66</v>
      </c>
      <c r="B69" s="23">
        <v>65</v>
      </c>
      <c r="C69" s="91">
        <v>0.013097451448870787</v>
      </c>
      <c r="D69" s="112">
        <v>387132.4315389108</v>
      </c>
      <c r="E69" s="38">
        <v>377271.56801990635</v>
      </c>
      <c r="F69" s="87">
        <f>C69*Allocations!$B$6</f>
        <v>419118.44636386517</v>
      </c>
      <c r="G69" s="87">
        <f aca="true" t="shared" si="18" ref="G69:G100">SUM(D69:F69)</f>
        <v>1183522.4459226823</v>
      </c>
      <c r="H69" s="88">
        <f aca="true" t="shared" si="19" ref="H69:H103">SUM(D69:F69)/3</f>
        <v>394507.4819742274</v>
      </c>
      <c r="I69" s="105">
        <v>111691.46864734363</v>
      </c>
      <c r="J69" s="92">
        <f t="shared" si="6"/>
        <v>530809.9150112087</v>
      </c>
      <c r="K69" s="60">
        <f t="shared" si="7"/>
        <v>419882.32</v>
      </c>
      <c r="L69" s="60">
        <f t="shared" si="8"/>
        <v>335905.86</v>
      </c>
      <c r="M69" s="60">
        <f t="shared" si="10"/>
        <v>194904.05501120875</v>
      </c>
      <c r="N69" s="56">
        <f aca="true" t="shared" si="20" ref="N69:N103">M69/H69</f>
        <v>0.4940440014872558</v>
      </c>
      <c r="O69" s="60"/>
      <c r="P69" s="25"/>
      <c r="Q69" s="25"/>
      <c r="R69" s="25"/>
      <c r="S69" s="41">
        <f aca="true" t="shared" si="21" ref="S69:S100">IF(((M69-G69)-(P69+R69))&gt;0,((M69-G69)-(P69+R69)),0)</f>
        <v>0</v>
      </c>
      <c r="T69" s="66">
        <f aca="true" t="shared" si="22" ref="T69:T100">IF(S69&gt;0,0,F69)</f>
        <v>419118.44636386517</v>
      </c>
      <c r="U69" s="67">
        <f aca="true" t="shared" si="23" ref="U69:U100">IF(T69&gt;0.01,F69/$T$104,0)</f>
        <v>0.013575979018538499</v>
      </c>
      <c r="V69" s="60">
        <f t="shared" si="11"/>
        <v>7895.742792259165</v>
      </c>
      <c r="W69" s="38">
        <f>C69*Allocations!$B$9</f>
        <v>433748.2996322539</v>
      </c>
      <c r="X69" s="106">
        <f t="shared" si="9"/>
        <v>217429.6510718567</v>
      </c>
      <c r="Y69" s="41"/>
      <c r="Z69" s="38"/>
      <c r="AA69" s="41"/>
      <c r="AB69" s="38"/>
      <c r="AC69" s="26"/>
      <c r="AD69" s="38"/>
      <c r="AE69" s="98"/>
      <c r="AF69" s="99"/>
      <c r="AG69" s="101"/>
      <c r="AH69" s="88"/>
      <c r="AI69" s="26"/>
      <c r="AJ69" s="38"/>
      <c r="AK69" s="26"/>
      <c r="AL69" s="38"/>
      <c r="AM69" s="26"/>
      <c r="AN69" s="38"/>
      <c r="AO69" s="26"/>
      <c r="AP69" s="38"/>
      <c r="AQ69" s="26"/>
      <c r="AR69" s="38"/>
      <c r="AS69" s="26"/>
      <c r="AT69" s="38"/>
      <c r="AU69" s="148">
        <v>419882.32</v>
      </c>
      <c r="AV69" s="149">
        <v>335905.86</v>
      </c>
    </row>
    <row r="70" spans="1:48" ht="12.75">
      <c r="A70" s="27" t="s">
        <v>67</v>
      </c>
      <c r="B70" s="17">
        <v>66</v>
      </c>
      <c r="C70" s="90">
        <v>0.01144732275273686</v>
      </c>
      <c r="D70" s="111">
        <v>276238.15599808795</v>
      </c>
      <c r="E70" s="37">
        <v>295537.737671509</v>
      </c>
      <c r="F70" s="85">
        <f>C70*Allocations!$B$6</f>
        <v>366314.3280875795</v>
      </c>
      <c r="G70" s="85">
        <f t="shared" si="18"/>
        <v>938090.2217571763</v>
      </c>
      <c r="H70" s="86">
        <f t="shared" si="19"/>
        <v>312696.74058572546</v>
      </c>
      <c r="I70" s="62">
        <v>435187.06075510103</v>
      </c>
      <c r="J70" s="61">
        <f aca="true" t="shared" si="24" ref="J70:J103">F70+I70</f>
        <v>801501.3888426805</v>
      </c>
      <c r="K70" s="58">
        <f aca="true" t="shared" si="25" ref="K70:K103">Y70+AA70+AC70+AE70+AG70+AI70+AK70+AM70+AO70+AQ70+AS70+AU70</f>
        <v>150275.35</v>
      </c>
      <c r="L70" s="58">
        <f aca="true" t="shared" si="26" ref="L70:L103">Z70+AB70+AD70+AF70+AH70+AJ70+AL70+AN70+AP70+AR70+AT70+AV70</f>
        <v>120220.28</v>
      </c>
      <c r="M70" s="58">
        <f t="shared" si="10"/>
        <v>681281.1088426805</v>
      </c>
      <c r="N70" s="55">
        <f t="shared" si="20"/>
        <v>2.1787278868546696</v>
      </c>
      <c r="O70" s="58"/>
      <c r="P70" s="21"/>
      <c r="Q70" s="21"/>
      <c r="R70" s="21"/>
      <c r="S70" s="59">
        <f t="shared" si="21"/>
        <v>0</v>
      </c>
      <c r="T70" s="65">
        <f t="shared" si="22"/>
        <v>366314.3280875795</v>
      </c>
      <c r="U70" s="64">
        <f t="shared" si="23"/>
        <v>0.011865561335827111</v>
      </c>
      <c r="V70" s="58">
        <f t="shared" si="11"/>
        <v>6900.969739680087</v>
      </c>
      <c r="W70" s="37">
        <f>C70*Allocations!$B$9</f>
        <v>379100.98760238657</v>
      </c>
      <c r="X70" s="62">
        <f aca="true" t="shared" si="27" ref="X70:X104">I70-L70+V70+W70-S70</f>
        <v>700968.7380971676</v>
      </c>
      <c r="Y70" s="40"/>
      <c r="Z70" s="37"/>
      <c r="AA70" s="40"/>
      <c r="AB70" s="37"/>
      <c r="AC70" s="18"/>
      <c r="AD70" s="37"/>
      <c r="AE70" s="97"/>
      <c r="AF70" s="36"/>
      <c r="AG70" s="96"/>
      <c r="AH70" s="86"/>
      <c r="AI70" s="18"/>
      <c r="AJ70" s="37"/>
      <c r="AK70" s="18"/>
      <c r="AL70" s="37"/>
      <c r="AM70" s="96"/>
      <c r="AN70" s="86"/>
      <c r="AO70" s="96">
        <v>150275.35</v>
      </c>
      <c r="AP70" s="86">
        <v>120220.28</v>
      </c>
      <c r="AQ70" s="18"/>
      <c r="AR70" s="37"/>
      <c r="AS70" s="18"/>
      <c r="AT70" s="37"/>
      <c r="AU70" s="20"/>
      <c r="AV70" s="73"/>
    </row>
    <row r="71" spans="1:48" ht="12.75">
      <c r="A71" s="27" t="s">
        <v>68</v>
      </c>
      <c r="B71" s="17">
        <v>67</v>
      </c>
      <c r="C71" s="90">
        <v>0.008156433204255712</v>
      </c>
      <c r="D71" s="111">
        <v>247816.14646479947</v>
      </c>
      <c r="E71" s="37">
        <v>259231.0032704873</v>
      </c>
      <c r="F71" s="85">
        <f>C71*Allocations!$B$6</f>
        <v>261005.8625361828</v>
      </c>
      <c r="G71" s="85">
        <f t="shared" si="18"/>
        <v>768053.0122714696</v>
      </c>
      <c r="H71" s="86">
        <f t="shared" si="19"/>
        <v>256017.67075715653</v>
      </c>
      <c r="I71" s="62">
        <v>-228188.65769670316</v>
      </c>
      <c r="J71" s="61">
        <f t="shared" si="24"/>
        <v>32817.204839479644</v>
      </c>
      <c r="K71" s="58">
        <f t="shared" si="25"/>
        <v>0</v>
      </c>
      <c r="L71" s="58">
        <f t="shared" si="26"/>
        <v>0</v>
      </c>
      <c r="M71" s="58">
        <f aca="true" t="shared" si="28" ref="M71:M103">J71-L71</f>
        <v>32817.204839479644</v>
      </c>
      <c r="N71" s="55">
        <f t="shared" si="20"/>
        <v>0.12818335836907185</v>
      </c>
      <c r="O71" s="58"/>
      <c r="P71" s="21"/>
      <c r="Q71" s="21"/>
      <c r="R71" s="21"/>
      <c r="S71" s="59">
        <f t="shared" si="21"/>
        <v>0</v>
      </c>
      <c r="T71" s="65">
        <f t="shared" si="22"/>
        <v>261005.8625361828</v>
      </c>
      <c r="U71" s="64">
        <f t="shared" si="23"/>
        <v>0.008454436077076136</v>
      </c>
      <c r="V71" s="58">
        <f t="shared" si="11"/>
        <v>4917.070999228464</v>
      </c>
      <c r="W71" s="37">
        <f>C71*Allocations!$B$9</f>
        <v>270116.5984253364</v>
      </c>
      <c r="X71" s="62">
        <f t="shared" si="27"/>
        <v>46845.01172786171</v>
      </c>
      <c r="Y71" s="108"/>
      <c r="Z71" s="86"/>
      <c r="AA71" s="129"/>
      <c r="AB71" s="37"/>
      <c r="AC71" s="18"/>
      <c r="AD71" s="37"/>
      <c r="AE71" s="97"/>
      <c r="AF71" s="36"/>
      <c r="AG71" s="96"/>
      <c r="AH71" s="86"/>
      <c r="AI71" s="18"/>
      <c r="AJ71" s="37"/>
      <c r="AK71" s="18"/>
      <c r="AL71" s="37"/>
      <c r="AM71" s="18"/>
      <c r="AN71" s="37"/>
      <c r="AO71" s="18"/>
      <c r="AP71" s="37"/>
      <c r="AQ71" s="18"/>
      <c r="AR71" s="37"/>
      <c r="AS71" s="18"/>
      <c r="AT71" s="37"/>
      <c r="AU71" s="20"/>
      <c r="AV71" s="73"/>
    </row>
    <row r="72" spans="1:49" ht="12.75">
      <c r="A72" s="27" t="s">
        <v>69</v>
      </c>
      <c r="B72" s="17">
        <v>68</v>
      </c>
      <c r="C72" s="90">
        <v>0.010538879560625445</v>
      </c>
      <c r="D72" s="111">
        <v>352900.79528226727</v>
      </c>
      <c r="E72" s="37">
        <v>339924.69763345754</v>
      </c>
      <c r="F72" s="85">
        <f>C72*Allocations!$B$6</f>
        <v>337244.1459400142</v>
      </c>
      <c r="G72" s="85">
        <f t="shared" si="18"/>
        <v>1030069.638855739</v>
      </c>
      <c r="H72" s="86">
        <f t="shared" si="19"/>
        <v>343356.5462852463</v>
      </c>
      <c r="I72" s="62">
        <v>1089569.1126074702</v>
      </c>
      <c r="J72" s="61">
        <f t="shared" si="24"/>
        <v>1426813.2585474844</v>
      </c>
      <c r="K72" s="58">
        <f t="shared" si="25"/>
        <v>784155.77</v>
      </c>
      <c r="L72" s="58">
        <f t="shared" si="26"/>
        <v>627324.61</v>
      </c>
      <c r="M72" s="58">
        <f t="shared" si="28"/>
        <v>799488.6485474844</v>
      </c>
      <c r="N72" s="55">
        <f t="shared" si="20"/>
        <v>2.328450286435787</v>
      </c>
      <c r="O72" s="58"/>
      <c r="P72" s="21"/>
      <c r="Q72" s="21"/>
      <c r="R72" s="21"/>
      <c r="S72" s="59">
        <f t="shared" si="21"/>
        <v>0</v>
      </c>
      <c r="T72" s="65">
        <f t="shared" si="22"/>
        <v>337244.1459400142</v>
      </c>
      <c r="U72" s="64">
        <f t="shared" si="23"/>
        <v>0.010923927326815226</v>
      </c>
      <c r="V72" s="58">
        <f aca="true" t="shared" si="29" ref="V72:V103">IF(U72&gt;0.000000001,U72*$S$104,0)</f>
        <v>6353.318632570311</v>
      </c>
      <c r="W72" s="37">
        <f>C72*Allocations!$B$9</f>
        <v>349016.0744092328</v>
      </c>
      <c r="X72" s="62">
        <f t="shared" si="27"/>
        <v>817613.8956492734</v>
      </c>
      <c r="Y72" s="40"/>
      <c r="Z72" s="37"/>
      <c r="AA72" s="108">
        <v>478284.27</v>
      </c>
      <c r="AB72" s="86">
        <v>382627.41</v>
      </c>
      <c r="AC72" s="18"/>
      <c r="AD72" s="37"/>
      <c r="AE72" s="97"/>
      <c r="AF72" s="36"/>
      <c r="AG72" s="96"/>
      <c r="AH72" s="86"/>
      <c r="AI72" s="18"/>
      <c r="AJ72" s="37"/>
      <c r="AK72" s="18"/>
      <c r="AL72" s="37"/>
      <c r="AM72" s="18"/>
      <c r="AN72" s="37"/>
      <c r="AO72" s="18"/>
      <c r="AP72" s="37"/>
      <c r="AQ72" s="18"/>
      <c r="AR72" s="37"/>
      <c r="AS72" s="96">
        <v>305871.5</v>
      </c>
      <c r="AT72" s="86">
        <v>244697.2</v>
      </c>
      <c r="AU72" s="125"/>
      <c r="AV72" s="126"/>
      <c r="AW72" s="127"/>
    </row>
    <row r="73" spans="1:48" ht="12.75">
      <c r="A73" s="27" t="s">
        <v>70</v>
      </c>
      <c r="B73" s="17">
        <v>69</v>
      </c>
      <c r="C73" s="90">
        <v>0.013264055551239488</v>
      </c>
      <c r="D73" s="111">
        <v>481336.68932506687</v>
      </c>
      <c r="E73" s="37">
        <v>445326.1119245034</v>
      </c>
      <c r="F73" s="85">
        <f>C73*Allocations!$B$6</f>
        <v>424449.7776396636</v>
      </c>
      <c r="G73" s="85">
        <f t="shared" si="18"/>
        <v>1351112.5788892338</v>
      </c>
      <c r="H73" s="86">
        <f t="shared" si="19"/>
        <v>450370.8596297446</v>
      </c>
      <c r="I73" s="62">
        <v>1526655.7342203201</v>
      </c>
      <c r="J73" s="61">
        <f t="shared" si="24"/>
        <v>1951105.5118599837</v>
      </c>
      <c r="K73" s="58">
        <f t="shared" si="25"/>
        <v>1098502.5</v>
      </c>
      <c r="L73" s="58">
        <f t="shared" si="26"/>
        <v>849913.25</v>
      </c>
      <c r="M73" s="58">
        <f t="shared" si="28"/>
        <v>1101192.2618599837</v>
      </c>
      <c r="N73" s="55">
        <f t="shared" si="20"/>
        <v>2.4450788462763495</v>
      </c>
      <c r="O73" s="58"/>
      <c r="P73" s="21"/>
      <c r="Q73" s="21"/>
      <c r="R73" s="21"/>
      <c r="S73" s="59">
        <f t="shared" si="21"/>
        <v>0</v>
      </c>
      <c r="T73" s="65">
        <f t="shared" si="22"/>
        <v>424449.7776396636</v>
      </c>
      <c r="U73" s="64">
        <f t="shared" si="23"/>
        <v>0.01374867015673355</v>
      </c>
      <c r="V73" s="58">
        <f t="shared" si="29"/>
        <v>7996.179365402705</v>
      </c>
      <c r="W73" s="37">
        <f>C73*Allocations!$B$9</f>
        <v>439265.7276903981</v>
      </c>
      <c r="X73" s="62">
        <f t="shared" si="27"/>
        <v>1124004.391276121</v>
      </c>
      <c r="Y73" s="40"/>
      <c r="Z73" s="37"/>
      <c r="AA73" s="108">
        <v>1098502.5</v>
      </c>
      <c r="AB73" s="86">
        <v>849913.25</v>
      </c>
      <c r="AC73" s="18"/>
      <c r="AD73" s="37"/>
      <c r="AE73" s="97"/>
      <c r="AF73" s="36"/>
      <c r="AG73" s="96"/>
      <c r="AH73" s="86"/>
      <c r="AI73" s="18"/>
      <c r="AJ73" s="37"/>
      <c r="AK73" s="18"/>
      <c r="AL73" s="37"/>
      <c r="AM73" s="18"/>
      <c r="AN73" s="37"/>
      <c r="AO73" s="18"/>
      <c r="AP73" s="37"/>
      <c r="AQ73" s="18"/>
      <c r="AR73" s="37"/>
      <c r="AS73" s="18"/>
      <c r="AT73" s="37"/>
      <c r="AU73" s="20"/>
      <c r="AV73" s="73"/>
    </row>
    <row r="74" spans="1:49" ht="12.75">
      <c r="A74" s="22" t="s">
        <v>71</v>
      </c>
      <c r="B74" s="23">
        <v>70</v>
      </c>
      <c r="C74" s="91">
        <v>0.009977301960790719</v>
      </c>
      <c r="D74" s="112">
        <v>338844.6784974769</v>
      </c>
      <c r="E74" s="38">
        <v>317380.6153427066</v>
      </c>
      <c r="F74" s="87">
        <f>C74*Allocations!$B$6</f>
        <v>319273.662745303</v>
      </c>
      <c r="G74" s="87">
        <f t="shared" si="18"/>
        <v>975498.9565854865</v>
      </c>
      <c r="H74" s="88">
        <f t="shared" si="19"/>
        <v>325166.3188618288</v>
      </c>
      <c r="I74" s="105">
        <v>704153.7899206993</v>
      </c>
      <c r="J74" s="92">
        <f t="shared" si="24"/>
        <v>1023427.4526660023</v>
      </c>
      <c r="K74" s="60">
        <f t="shared" si="25"/>
        <v>2165522.255</v>
      </c>
      <c r="L74" s="60">
        <f t="shared" si="26"/>
        <v>1732417.8</v>
      </c>
      <c r="M74" s="60">
        <f t="shared" si="28"/>
        <v>-708990.3473339977</v>
      </c>
      <c r="N74" s="56">
        <f t="shared" si="20"/>
        <v>-2.1803929441882484</v>
      </c>
      <c r="O74" s="60"/>
      <c r="P74" s="25"/>
      <c r="Q74" s="25"/>
      <c r="R74" s="25"/>
      <c r="S74" s="59">
        <f t="shared" si="21"/>
        <v>0</v>
      </c>
      <c r="T74" s="66">
        <f t="shared" si="22"/>
        <v>319273.662745303</v>
      </c>
      <c r="U74" s="67">
        <f t="shared" si="23"/>
        <v>0.01034183196708822</v>
      </c>
      <c r="V74" s="60">
        <f t="shared" si="29"/>
        <v>6014.773969625862</v>
      </c>
      <c r="W74" s="38">
        <f>C74*Allocations!$B$9</f>
        <v>330418.3090355062</v>
      </c>
      <c r="X74" s="106">
        <f t="shared" si="27"/>
        <v>-691830.9270741687</v>
      </c>
      <c r="Y74" s="41"/>
      <c r="Z74" s="38"/>
      <c r="AA74" s="41"/>
      <c r="AB74" s="38"/>
      <c r="AC74" s="26"/>
      <c r="AD74" s="38"/>
      <c r="AE74" s="98"/>
      <c r="AF74" s="99"/>
      <c r="AG74" s="101"/>
      <c r="AH74" s="88"/>
      <c r="AI74" s="101">
        <v>1496785.64</v>
      </c>
      <c r="AJ74" s="88">
        <v>1197428.51</v>
      </c>
      <c r="AK74" s="143">
        <f>1337473.23/2</f>
        <v>668736.615</v>
      </c>
      <c r="AL74" s="144">
        <f>1069978.58/2</f>
        <v>534989.29</v>
      </c>
      <c r="AM74" s="26"/>
      <c r="AN74" s="38"/>
      <c r="AO74" s="26"/>
      <c r="AP74" s="38"/>
      <c r="AQ74" s="26"/>
      <c r="AR74" s="38"/>
      <c r="AS74" s="26"/>
      <c r="AT74" s="38"/>
      <c r="AU74" s="24"/>
      <c r="AV74" s="74"/>
      <c r="AW74" s="145" t="s">
        <v>151</v>
      </c>
    </row>
    <row r="75" spans="1:48" ht="12.75">
      <c r="A75" s="27" t="s">
        <v>72</v>
      </c>
      <c r="B75" s="17">
        <v>71</v>
      </c>
      <c r="C75" s="90">
        <v>0.006380296010776299</v>
      </c>
      <c r="D75" s="111">
        <v>232398.7588107344</v>
      </c>
      <c r="E75" s="37">
        <v>206089.57291730767</v>
      </c>
      <c r="F75" s="85">
        <f>C75*Allocations!$B$6</f>
        <v>204169.47234484158</v>
      </c>
      <c r="G75" s="85">
        <f t="shared" si="18"/>
        <v>642657.8040728837</v>
      </c>
      <c r="H75" s="86">
        <f t="shared" si="19"/>
        <v>214219.26802429455</v>
      </c>
      <c r="I75" s="62">
        <v>178331.15410599043</v>
      </c>
      <c r="J75" s="61">
        <f t="shared" si="24"/>
        <v>382500.626450832</v>
      </c>
      <c r="K75" s="58">
        <f t="shared" si="25"/>
        <v>0</v>
      </c>
      <c r="L75" s="58">
        <f t="shared" si="26"/>
        <v>0</v>
      </c>
      <c r="M75" s="58">
        <f t="shared" si="28"/>
        <v>382500.626450832</v>
      </c>
      <c r="N75" s="55">
        <f t="shared" si="20"/>
        <v>1.7855565933847404</v>
      </c>
      <c r="O75" s="58"/>
      <c r="P75" s="21"/>
      <c r="Q75" s="21"/>
      <c r="R75" s="21"/>
      <c r="S75" s="94">
        <f t="shared" si="21"/>
        <v>0</v>
      </c>
      <c r="T75" s="65">
        <f t="shared" si="22"/>
        <v>204169.47234484158</v>
      </c>
      <c r="U75" s="64">
        <f t="shared" si="23"/>
        <v>0.006613406059377443</v>
      </c>
      <c r="V75" s="58">
        <f t="shared" si="29"/>
        <v>3846.3342609993183</v>
      </c>
      <c r="W75" s="37">
        <f>C75*Allocations!$B$9</f>
        <v>211296.26298887868</v>
      </c>
      <c r="X75" s="62">
        <f t="shared" si="27"/>
        <v>393473.7513558684</v>
      </c>
      <c r="Y75" s="40"/>
      <c r="Z75" s="37"/>
      <c r="AA75" s="40"/>
      <c r="AB75" s="37"/>
      <c r="AC75" s="18"/>
      <c r="AD75" s="37"/>
      <c r="AE75" s="97"/>
      <c r="AF75" s="36"/>
      <c r="AG75" s="96"/>
      <c r="AH75" s="86"/>
      <c r="AI75" s="118"/>
      <c r="AJ75" s="119"/>
      <c r="AK75" s="18"/>
      <c r="AL75" s="37"/>
      <c r="AM75" s="18"/>
      <c r="AN75" s="37"/>
      <c r="AO75" s="18"/>
      <c r="AP75" s="37"/>
      <c r="AQ75" s="18"/>
      <c r="AR75" s="37"/>
      <c r="AS75" s="18"/>
      <c r="AT75" s="37"/>
      <c r="AU75" s="20"/>
      <c r="AV75" s="73"/>
    </row>
    <row r="76" spans="1:48" ht="12.75">
      <c r="A76" s="27" t="s">
        <v>73</v>
      </c>
      <c r="B76" s="17">
        <v>72</v>
      </c>
      <c r="C76" s="90">
        <v>0.00384695049683078</v>
      </c>
      <c r="D76" s="111">
        <v>138777.6475350541</v>
      </c>
      <c r="E76" s="37">
        <v>133704.51943104144</v>
      </c>
      <c r="F76" s="85">
        <f>C76*Allocations!$B$6</f>
        <v>123102.41589858496</v>
      </c>
      <c r="G76" s="85">
        <f t="shared" si="18"/>
        <v>395584.58286468056</v>
      </c>
      <c r="H76" s="86">
        <f t="shared" si="19"/>
        <v>131861.52762156018</v>
      </c>
      <c r="I76" s="62">
        <v>41366.91787197685</v>
      </c>
      <c r="J76" s="61">
        <f t="shared" si="24"/>
        <v>164469.33377056182</v>
      </c>
      <c r="K76" s="58">
        <f t="shared" si="25"/>
        <v>109250.3</v>
      </c>
      <c r="L76" s="58">
        <f t="shared" si="26"/>
        <v>87400.24</v>
      </c>
      <c r="M76" s="58">
        <f t="shared" si="28"/>
        <v>77069.09377056181</v>
      </c>
      <c r="N76" s="55">
        <f t="shared" si="20"/>
        <v>0.5844698993003364</v>
      </c>
      <c r="O76" s="58"/>
      <c r="P76" s="21"/>
      <c r="Q76" s="21"/>
      <c r="R76" s="21"/>
      <c r="S76" s="59">
        <f t="shared" si="21"/>
        <v>0</v>
      </c>
      <c r="T76" s="65">
        <f t="shared" si="22"/>
        <v>123102.41589858496</v>
      </c>
      <c r="U76" s="64">
        <f t="shared" si="23"/>
        <v>0.0039875024110002455</v>
      </c>
      <c r="V76" s="58">
        <f t="shared" si="29"/>
        <v>2319.117713557031</v>
      </c>
      <c r="W76" s="37">
        <f>C76*Allocations!$B$9</f>
        <v>127399.45960354495</v>
      </c>
      <c r="X76" s="62">
        <f t="shared" si="27"/>
        <v>83685.25518907883</v>
      </c>
      <c r="Y76" s="40"/>
      <c r="Z76" s="37"/>
      <c r="AA76" s="40"/>
      <c r="AB76" s="37"/>
      <c r="AC76" s="18"/>
      <c r="AD76" s="37"/>
      <c r="AE76" s="97"/>
      <c r="AF76" s="36"/>
      <c r="AG76" s="96"/>
      <c r="AH76" s="86"/>
      <c r="AI76" s="18"/>
      <c r="AJ76" s="37"/>
      <c r="AK76" s="18"/>
      <c r="AL76" s="37"/>
      <c r="AM76" s="18"/>
      <c r="AN76" s="37"/>
      <c r="AO76" s="96">
        <v>109250.3</v>
      </c>
      <c r="AP76" s="86">
        <v>87400.24</v>
      </c>
      <c r="AQ76" s="18"/>
      <c r="AR76" s="37"/>
      <c r="AS76" s="18"/>
      <c r="AT76" s="37"/>
      <c r="AU76" s="20"/>
      <c r="AV76" s="73"/>
    </row>
    <row r="77" spans="1:48" ht="12.75">
      <c r="A77" s="27" t="s">
        <v>74</v>
      </c>
      <c r="B77" s="17">
        <v>73</v>
      </c>
      <c r="C77" s="90">
        <v>0.013068743406159766</v>
      </c>
      <c r="D77" s="111">
        <v>317312.7652277031</v>
      </c>
      <c r="E77" s="37">
        <v>419931.2976424581</v>
      </c>
      <c r="F77" s="85">
        <f>C77*Allocations!$B$6</f>
        <v>418199.78899711254</v>
      </c>
      <c r="G77" s="85">
        <f t="shared" si="18"/>
        <v>1155443.8518672737</v>
      </c>
      <c r="H77" s="86">
        <f t="shared" si="19"/>
        <v>385147.95062242454</v>
      </c>
      <c r="I77" s="62">
        <v>839523.8087944484</v>
      </c>
      <c r="J77" s="61">
        <f t="shared" si="24"/>
        <v>1257723.597791561</v>
      </c>
      <c r="K77" s="58">
        <f t="shared" si="25"/>
        <v>0</v>
      </c>
      <c r="L77" s="58">
        <f t="shared" si="26"/>
        <v>0</v>
      </c>
      <c r="M77" s="58">
        <f t="shared" si="28"/>
        <v>1257723.597791561</v>
      </c>
      <c r="N77" s="55">
        <f t="shared" si="20"/>
        <v>3.26555962652533</v>
      </c>
      <c r="O77" s="58">
        <v>555073.33</v>
      </c>
      <c r="P77" s="21">
        <v>444058.66</v>
      </c>
      <c r="Q77" s="21"/>
      <c r="R77" s="21"/>
      <c r="S77" s="59">
        <f t="shared" si="21"/>
        <v>0</v>
      </c>
      <c r="T77" s="65">
        <f t="shared" si="22"/>
        <v>418199.78899711254</v>
      </c>
      <c r="U77" s="64">
        <f t="shared" si="23"/>
        <v>0.013546222100787778</v>
      </c>
      <c r="V77" s="58">
        <f t="shared" si="29"/>
        <v>7878.436271047746</v>
      </c>
      <c r="W77" s="37">
        <f>C77*Allocations!$B$9</f>
        <v>432797.57538179297</v>
      </c>
      <c r="X77" s="62">
        <f t="shared" si="27"/>
        <v>1280199.8204472892</v>
      </c>
      <c r="Y77" s="40"/>
      <c r="Z77" s="37"/>
      <c r="AA77" s="40"/>
      <c r="AB77" s="37"/>
      <c r="AC77" s="18"/>
      <c r="AD77" s="37"/>
      <c r="AE77" s="97"/>
      <c r="AF77" s="36"/>
      <c r="AG77" s="96"/>
      <c r="AH77" s="86"/>
      <c r="AI77" s="18"/>
      <c r="AJ77" s="37"/>
      <c r="AK77" s="18"/>
      <c r="AL77" s="37"/>
      <c r="AM77" s="96"/>
      <c r="AN77" s="86"/>
      <c r="AO77" s="18"/>
      <c r="AP77" s="37"/>
      <c r="AQ77" s="18"/>
      <c r="AR77" s="37"/>
      <c r="AS77" s="18"/>
      <c r="AT77" s="37"/>
      <c r="AU77" s="20"/>
      <c r="AV77" s="73"/>
    </row>
    <row r="78" spans="1:48" ht="12.75">
      <c r="A78" s="27" t="s">
        <v>75</v>
      </c>
      <c r="B78" s="17">
        <v>74</v>
      </c>
      <c r="C78" s="90">
        <v>0.005440584838886882</v>
      </c>
      <c r="D78" s="111">
        <v>171552.37362893496</v>
      </c>
      <c r="E78" s="37">
        <v>177712.16002151812</v>
      </c>
      <c r="F78" s="85">
        <f>C78*Allocations!$B$6</f>
        <v>174098.7148443802</v>
      </c>
      <c r="G78" s="85">
        <f t="shared" si="18"/>
        <v>523363.2484948333</v>
      </c>
      <c r="H78" s="86">
        <f t="shared" si="19"/>
        <v>174454.41616494444</v>
      </c>
      <c r="I78" s="62">
        <v>-26333.15746509697</v>
      </c>
      <c r="J78" s="61">
        <f t="shared" si="24"/>
        <v>147765.55737928324</v>
      </c>
      <c r="K78" s="58">
        <f t="shared" si="25"/>
        <v>265003.85</v>
      </c>
      <c r="L78" s="58">
        <f t="shared" si="26"/>
        <v>212003.08</v>
      </c>
      <c r="M78" s="58">
        <f t="shared" si="28"/>
        <v>-64237.52262071674</v>
      </c>
      <c r="N78" s="55">
        <f t="shared" si="20"/>
        <v>-0.36821952709973804</v>
      </c>
      <c r="O78" s="58"/>
      <c r="P78" s="21"/>
      <c r="Q78" s="21"/>
      <c r="R78" s="21"/>
      <c r="S78" s="59">
        <f t="shared" si="21"/>
        <v>0</v>
      </c>
      <c r="T78" s="65">
        <f t="shared" si="22"/>
        <v>174098.7148443802</v>
      </c>
      <c r="U78" s="64">
        <f t="shared" si="23"/>
        <v>0.005639361665866301</v>
      </c>
      <c r="V78" s="58">
        <f t="shared" si="29"/>
        <v>3279.8333855262517</v>
      </c>
      <c r="W78" s="37">
        <f>C78*Allocations!$B$9</f>
        <v>180175.84810941687</v>
      </c>
      <c r="X78" s="62">
        <f t="shared" si="27"/>
        <v>-54880.55597015383</v>
      </c>
      <c r="Y78" s="40"/>
      <c r="Z78" s="37"/>
      <c r="AA78" s="40"/>
      <c r="AB78" s="37"/>
      <c r="AC78" s="18"/>
      <c r="AD78" s="37"/>
      <c r="AE78" s="97"/>
      <c r="AF78" s="36"/>
      <c r="AG78" s="96"/>
      <c r="AH78" s="86"/>
      <c r="AI78" s="18"/>
      <c r="AJ78" s="37"/>
      <c r="AK78" s="18"/>
      <c r="AL78" s="37"/>
      <c r="AM78" s="18"/>
      <c r="AN78" s="37"/>
      <c r="AO78" s="18"/>
      <c r="AP78" s="37"/>
      <c r="AQ78" s="96">
        <v>265003.85</v>
      </c>
      <c r="AR78" s="86">
        <v>212003.08</v>
      </c>
      <c r="AS78" s="18"/>
      <c r="AT78" s="37"/>
      <c r="AU78" s="20"/>
      <c r="AV78" s="73"/>
    </row>
    <row r="79" spans="1:48" ht="12.75">
      <c r="A79" s="22" t="s">
        <v>76</v>
      </c>
      <c r="B79" s="23">
        <v>75</v>
      </c>
      <c r="C79" s="91">
        <v>0.02161455724911159</v>
      </c>
      <c r="D79" s="112">
        <v>672537.3604378318</v>
      </c>
      <c r="E79" s="38">
        <v>616802.7021082138</v>
      </c>
      <c r="F79" s="87">
        <f>C79*Allocations!$B$6</f>
        <v>691665.8319715708</v>
      </c>
      <c r="G79" s="87">
        <f t="shared" si="18"/>
        <v>1981005.8945176164</v>
      </c>
      <c r="H79" s="88">
        <f t="shared" si="19"/>
        <v>660335.2981725388</v>
      </c>
      <c r="I79" s="105">
        <v>617257.4972223064</v>
      </c>
      <c r="J79" s="92">
        <f t="shared" si="24"/>
        <v>1308923.3291938773</v>
      </c>
      <c r="K79" s="60">
        <f t="shared" si="25"/>
        <v>1090665.3</v>
      </c>
      <c r="L79" s="60">
        <f t="shared" si="26"/>
        <v>872532.24</v>
      </c>
      <c r="M79" s="60">
        <f t="shared" si="28"/>
        <v>436391.0891938773</v>
      </c>
      <c r="N79" s="56">
        <f t="shared" si="20"/>
        <v>0.6608628834496333</v>
      </c>
      <c r="O79" s="60"/>
      <c r="P79" s="25"/>
      <c r="Q79" s="25"/>
      <c r="R79" s="25"/>
      <c r="S79" s="41">
        <f t="shared" si="21"/>
        <v>0</v>
      </c>
      <c r="T79" s="66">
        <f t="shared" si="22"/>
        <v>691665.8319715708</v>
      </c>
      <c r="U79" s="67">
        <f t="shared" si="23"/>
        <v>0.022404265200329284</v>
      </c>
      <c r="V79" s="60">
        <f t="shared" si="29"/>
        <v>13030.243729001173</v>
      </c>
      <c r="W79" s="38">
        <f>C79*Allocations!$B$9</f>
        <v>715809.2924188285</v>
      </c>
      <c r="X79" s="106">
        <f t="shared" si="27"/>
        <v>473564.79337013606</v>
      </c>
      <c r="Y79" s="41"/>
      <c r="Z79" s="38"/>
      <c r="AA79" s="41"/>
      <c r="AB79" s="38"/>
      <c r="AC79" s="26"/>
      <c r="AD79" s="38"/>
      <c r="AE79" s="98"/>
      <c r="AF79" s="99"/>
      <c r="AG79" s="133">
        <v>1090665.3</v>
      </c>
      <c r="AH79" s="134">
        <v>872532.24</v>
      </c>
      <c r="AI79" s="26"/>
      <c r="AJ79" s="38"/>
      <c r="AK79" s="26"/>
      <c r="AL79" s="38"/>
      <c r="AM79" s="26"/>
      <c r="AN79" s="38"/>
      <c r="AO79" s="26"/>
      <c r="AP79" s="38"/>
      <c r="AQ79" s="26"/>
      <c r="AR79" s="38"/>
      <c r="AS79" s="26"/>
      <c r="AT79" s="38"/>
      <c r="AU79" s="24"/>
      <c r="AV79" s="74"/>
    </row>
    <row r="80" spans="1:48" ht="12.75">
      <c r="A80" s="27" t="s">
        <v>77</v>
      </c>
      <c r="B80" s="17">
        <v>76</v>
      </c>
      <c r="C80" s="90">
        <v>0.00659509276803504</v>
      </c>
      <c r="D80" s="111">
        <v>192737.3942203268</v>
      </c>
      <c r="E80" s="37">
        <v>189695.92521587526</v>
      </c>
      <c r="F80" s="85">
        <f>C80*Allocations!$B$6</f>
        <v>211042.9685771213</v>
      </c>
      <c r="G80" s="85">
        <f t="shared" si="18"/>
        <v>593476.2880133233</v>
      </c>
      <c r="H80" s="86">
        <f t="shared" si="19"/>
        <v>197825.42933777443</v>
      </c>
      <c r="I80" s="62">
        <v>506469.74363760854</v>
      </c>
      <c r="J80" s="61">
        <f t="shared" si="24"/>
        <v>717512.7122147299</v>
      </c>
      <c r="K80" s="58">
        <f t="shared" si="25"/>
        <v>0</v>
      </c>
      <c r="L80" s="58">
        <f t="shared" si="26"/>
        <v>0</v>
      </c>
      <c r="M80" s="58">
        <f t="shared" si="28"/>
        <v>717512.7122147299</v>
      </c>
      <c r="N80" s="55">
        <f t="shared" si="20"/>
        <v>3.626999393438051</v>
      </c>
      <c r="O80" s="58"/>
      <c r="P80" s="21"/>
      <c r="Q80" s="21"/>
      <c r="R80" s="21"/>
      <c r="S80" s="59">
        <f t="shared" si="21"/>
        <v>124036.42420140654</v>
      </c>
      <c r="T80" s="65">
        <f t="shared" si="22"/>
        <v>0</v>
      </c>
      <c r="U80" s="64">
        <f t="shared" si="23"/>
        <v>0</v>
      </c>
      <c r="V80" s="58">
        <f t="shared" si="29"/>
        <v>0</v>
      </c>
      <c r="W80" s="37">
        <f>C80*Allocations!$B$9</f>
        <v>218409.68719901642</v>
      </c>
      <c r="X80" s="62">
        <f t="shared" si="27"/>
        <v>600843.0066352184</v>
      </c>
      <c r="Y80" s="40"/>
      <c r="Z80" s="37"/>
      <c r="AA80" s="40"/>
      <c r="AB80" s="37"/>
      <c r="AC80" s="18"/>
      <c r="AD80" s="37"/>
      <c r="AE80" s="97"/>
      <c r="AF80" s="36"/>
      <c r="AG80" s="102"/>
      <c r="AH80" s="103"/>
      <c r="AI80" s="18"/>
      <c r="AJ80" s="37"/>
      <c r="AK80" s="18"/>
      <c r="AL80" s="37"/>
      <c r="AM80" s="18"/>
      <c r="AN80" s="37"/>
      <c r="AO80" s="18"/>
      <c r="AP80" s="37"/>
      <c r="AQ80" s="96"/>
      <c r="AR80" s="86"/>
      <c r="AS80" s="18"/>
      <c r="AT80" s="37"/>
      <c r="AU80" s="20"/>
      <c r="AV80" s="73"/>
    </row>
    <row r="81" spans="1:48" ht="12.75">
      <c r="A81" s="27" t="s">
        <v>78</v>
      </c>
      <c r="B81" s="17">
        <v>77</v>
      </c>
      <c r="C81" s="90">
        <v>0.009607373854795168</v>
      </c>
      <c r="D81" s="111">
        <v>311333.89351030125</v>
      </c>
      <c r="E81" s="37">
        <v>297663.68203119613</v>
      </c>
      <c r="F81" s="85">
        <f>C81*Allocations!$B$6</f>
        <v>307435.96335344535</v>
      </c>
      <c r="G81" s="85">
        <f t="shared" si="18"/>
        <v>916433.5388949427</v>
      </c>
      <c r="H81" s="86">
        <f t="shared" si="19"/>
        <v>305477.8462983142</v>
      </c>
      <c r="I81" s="62">
        <v>-98604.0856391323</v>
      </c>
      <c r="J81" s="61">
        <f t="shared" si="24"/>
        <v>208831.87771431304</v>
      </c>
      <c r="K81" s="58">
        <f t="shared" si="25"/>
        <v>730398.5</v>
      </c>
      <c r="L81" s="58">
        <f t="shared" si="26"/>
        <v>584318.8</v>
      </c>
      <c r="M81" s="58">
        <f t="shared" si="28"/>
        <v>-375486.922285687</v>
      </c>
      <c r="N81" s="55">
        <f t="shared" si="20"/>
        <v>-1.2291788973757707</v>
      </c>
      <c r="O81" s="58"/>
      <c r="P81" s="21"/>
      <c r="Q81" s="21"/>
      <c r="R81" s="21"/>
      <c r="S81" s="59">
        <f t="shared" si="21"/>
        <v>0</v>
      </c>
      <c r="T81" s="65">
        <f t="shared" si="22"/>
        <v>307435.96335344535</v>
      </c>
      <c r="U81" s="64">
        <f t="shared" si="23"/>
        <v>0.009958388193697001</v>
      </c>
      <c r="V81" s="58">
        <f t="shared" si="29"/>
        <v>5791.764387344091</v>
      </c>
      <c r="W81" s="37">
        <f>C81*Allocations!$B$9</f>
        <v>318167.39994925156</v>
      </c>
      <c r="X81" s="62">
        <f t="shared" si="27"/>
        <v>-358963.72130253667</v>
      </c>
      <c r="Y81" s="40"/>
      <c r="Z81" s="37"/>
      <c r="AA81" s="40"/>
      <c r="AB81" s="37"/>
      <c r="AC81" s="18"/>
      <c r="AD81" s="37"/>
      <c r="AE81" s="97"/>
      <c r="AF81" s="36"/>
      <c r="AG81" s="96"/>
      <c r="AH81" s="86"/>
      <c r="AI81" s="18"/>
      <c r="AJ81" s="37"/>
      <c r="AK81" s="96"/>
      <c r="AL81" s="86"/>
      <c r="AM81" s="18"/>
      <c r="AN81" s="37"/>
      <c r="AO81" s="96">
        <v>730398.5</v>
      </c>
      <c r="AP81" s="86">
        <v>584318.8</v>
      </c>
      <c r="AQ81" s="18"/>
      <c r="AR81" s="37"/>
      <c r="AS81" s="18"/>
      <c r="AT81" s="37"/>
      <c r="AU81" s="20"/>
      <c r="AV81" s="73"/>
    </row>
    <row r="82" spans="1:48" ht="12.75">
      <c r="A82" s="27" t="s">
        <v>79</v>
      </c>
      <c r="B82" s="17">
        <v>78</v>
      </c>
      <c r="C82" s="90">
        <v>0.019724355092876997</v>
      </c>
      <c r="D82" s="111">
        <v>881627.1172979703</v>
      </c>
      <c r="E82" s="37">
        <v>826445.3284588412</v>
      </c>
      <c r="F82" s="85">
        <f>C82*Allocations!$B$6</f>
        <v>631179.362972064</v>
      </c>
      <c r="G82" s="85">
        <f t="shared" si="18"/>
        <v>2339251.8087288756</v>
      </c>
      <c r="H82" s="86">
        <f t="shared" si="19"/>
        <v>779750.6029096252</v>
      </c>
      <c r="I82" s="62">
        <v>1764403.3965245467</v>
      </c>
      <c r="J82" s="61">
        <f t="shared" si="24"/>
        <v>2395582.7594966106</v>
      </c>
      <c r="K82" s="58">
        <f t="shared" si="25"/>
        <v>683468.42</v>
      </c>
      <c r="L82" s="58">
        <f t="shared" si="26"/>
        <v>546774.74</v>
      </c>
      <c r="M82" s="58">
        <f t="shared" si="28"/>
        <v>1848808.0194966106</v>
      </c>
      <c r="N82" s="55">
        <f t="shared" si="20"/>
        <v>2.3710248027995324</v>
      </c>
      <c r="O82" s="58"/>
      <c r="P82" s="21"/>
      <c r="Q82" s="21"/>
      <c r="R82" s="21"/>
      <c r="S82" s="59">
        <f t="shared" si="21"/>
        <v>0</v>
      </c>
      <c r="T82" s="65">
        <f t="shared" si="22"/>
        <v>631179.362972064</v>
      </c>
      <c r="U82" s="64">
        <f t="shared" si="23"/>
        <v>0.02044500275037766</v>
      </c>
      <c r="V82" s="58">
        <f t="shared" si="29"/>
        <v>11890.743414053357</v>
      </c>
      <c r="W82" s="37">
        <f>C82*Allocations!$B$9</f>
        <v>653211.4676108075</v>
      </c>
      <c r="X82" s="62">
        <f t="shared" si="27"/>
        <v>1882730.8675494078</v>
      </c>
      <c r="Y82" s="40"/>
      <c r="Z82" s="37"/>
      <c r="AA82" s="40"/>
      <c r="AB82" s="37"/>
      <c r="AC82" s="18"/>
      <c r="AD82" s="37"/>
      <c r="AE82" s="97"/>
      <c r="AF82" s="36"/>
      <c r="AG82" s="96"/>
      <c r="AH82" s="86"/>
      <c r="AI82" s="18"/>
      <c r="AJ82" s="37"/>
      <c r="AK82" s="96">
        <v>683468.42</v>
      </c>
      <c r="AL82" s="86">
        <v>546774.74</v>
      </c>
      <c r="AM82" s="96"/>
      <c r="AN82" s="86"/>
      <c r="AO82" s="18"/>
      <c r="AP82" s="37"/>
      <c r="AQ82" s="18"/>
      <c r="AR82" s="37"/>
      <c r="AS82" s="18"/>
      <c r="AT82" s="37"/>
      <c r="AU82" s="20"/>
      <c r="AV82" s="73"/>
    </row>
    <row r="83" spans="1:48" ht="12.75">
      <c r="A83" s="27" t="s">
        <v>80</v>
      </c>
      <c r="B83" s="17">
        <v>79</v>
      </c>
      <c r="C83" s="90">
        <v>0.011228686088565054</v>
      </c>
      <c r="D83" s="111">
        <v>303106.4998266452</v>
      </c>
      <c r="E83" s="37">
        <v>336898.04561677086</v>
      </c>
      <c r="F83" s="85">
        <f>C83*Allocations!$B$6</f>
        <v>359317.95483408176</v>
      </c>
      <c r="G83" s="85">
        <f t="shared" si="18"/>
        <v>999322.5002774978</v>
      </c>
      <c r="H83" s="86">
        <f t="shared" si="19"/>
        <v>333107.50009249925</v>
      </c>
      <c r="I83" s="62">
        <v>534559.416173222</v>
      </c>
      <c r="J83" s="61">
        <f t="shared" si="24"/>
        <v>893877.3710073037</v>
      </c>
      <c r="K83" s="58">
        <f t="shared" si="25"/>
        <v>0</v>
      </c>
      <c r="L83" s="58">
        <f t="shared" si="26"/>
        <v>0</v>
      </c>
      <c r="M83" s="58">
        <f t="shared" si="28"/>
        <v>893877.3710073037</v>
      </c>
      <c r="N83" s="55">
        <f t="shared" si="20"/>
        <v>2.683450149753718</v>
      </c>
      <c r="O83" s="58"/>
      <c r="P83" s="21"/>
      <c r="Q83" s="21"/>
      <c r="R83" s="21"/>
      <c r="S83" s="59">
        <f t="shared" si="21"/>
        <v>0</v>
      </c>
      <c r="T83" s="65">
        <f t="shared" si="22"/>
        <v>359317.95483408176</v>
      </c>
      <c r="U83" s="64">
        <f t="shared" si="23"/>
        <v>0.011638936577791793</v>
      </c>
      <c r="V83" s="58">
        <f t="shared" si="29"/>
        <v>6769.165558385949</v>
      </c>
      <c r="W83" s="37">
        <f>C83*Allocations!$B$9</f>
        <v>371860.39719500893</v>
      </c>
      <c r="X83" s="62">
        <f t="shared" si="27"/>
        <v>913188.9789266168</v>
      </c>
      <c r="Y83" s="40"/>
      <c r="Z83" s="37"/>
      <c r="AA83" s="40"/>
      <c r="AB83" s="37"/>
      <c r="AC83" s="18"/>
      <c r="AD83" s="37"/>
      <c r="AE83" s="97"/>
      <c r="AF83" s="36"/>
      <c r="AG83" s="96"/>
      <c r="AH83" s="86"/>
      <c r="AI83" s="18"/>
      <c r="AJ83" s="37"/>
      <c r="AK83" s="18"/>
      <c r="AL83" s="37"/>
      <c r="AM83" s="96"/>
      <c r="AN83" s="86"/>
      <c r="AO83" s="18"/>
      <c r="AP83" s="37"/>
      <c r="AQ83" s="18"/>
      <c r="AR83" s="37"/>
      <c r="AS83" s="18"/>
      <c r="AT83" s="37"/>
      <c r="AU83" s="122"/>
      <c r="AV83" s="123"/>
    </row>
    <row r="84" spans="1:48" ht="12.75">
      <c r="A84" s="22" t="s">
        <v>81</v>
      </c>
      <c r="B84" s="23">
        <v>80</v>
      </c>
      <c r="C84" s="91">
        <v>0.00912153744210777</v>
      </c>
      <c r="D84" s="112">
        <v>267776.4190309861</v>
      </c>
      <c r="E84" s="38">
        <v>242053.3161177433</v>
      </c>
      <c r="F84" s="87">
        <f>C84*Allocations!$B$6</f>
        <v>291889.19814744865</v>
      </c>
      <c r="G84" s="87">
        <f t="shared" si="18"/>
        <v>801718.933296178</v>
      </c>
      <c r="H84" s="88">
        <f t="shared" si="19"/>
        <v>267239.6444320593</v>
      </c>
      <c r="I84" s="105">
        <v>222874.8502299032</v>
      </c>
      <c r="J84" s="92">
        <f t="shared" si="24"/>
        <v>514764.04837735184</v>
      </c>
      <c r="K84" s="60">
        <f t="shared" si="25"/>
        <v>0</v>
      </c>
      <c r="L84" s="60">
        <f t="shared" si="26"/>
        <v>0</v>
      </c>
      <c r="M84" s="60">
        <f t="shared" si="28"/>
        <v>514764.04837735184</v>
      </c>
      <c r="N84" s="56">
        <f t="shared" si="20"/>
        <v>1.926226363125629</v>
      </c>
      <c r="O84" s="60"/>
      <c r="P84" s="25"/>
      <c r="Q84" s="25"/>
      <c r="R84" s="25"/>
      <c r="S84" s="41">
        <f t="shared" si="21"/>
        <v>0</v>
      </c>
      <c r="T84" s="66">
        <f t="shared" si="22"/>
        <v>291889.19814744865</v>
      </c>
      <c r="U84" s="67">
        <f t="shared" si="23"/>
        <v>0.0094548012958311</v>
      </c>
      <c r="V84" s="60">
        <f t="shared" si="29"/>
        <v>5498.879976306684</v>
      </c>
      <c r="W84" s="38">
        <f>C84*Allocations!$B$9</f>
        <v>302077.955470283</v>
      </c>
      <c r="X84" s="106">
        <f t="shared" si="27"/>
        <v>530451.6856764929</v>
      </c>
      <c r="Y84" s="41"/>
      <c r="Z84" s="38"/>
      <c r="AA84" s="41"/>
      <c r="AB84" s="38"/>
      <c r="AC84" s="26"/>
      <c r="AD84" s="38"/>
      <c r="AE84" s="98"/>
      <c r="AF84" s="99"/>
      <c r="AG84" s="101"/>
      <c r="AH84" s="88"/>
      <c r="AI84" s="26"/>
      <c r="AJ84" s="38"/>
      <c r="AK84" s="101"/>
      <c r="AL84" s="88"/>
      <c r="AM84" s="26"/>
      <c r="AN84" s="38"/>
      <c r="AO84" s="101"/>
      <c r="AP84" s="88"/>
      <c r="AQ84" s="26"/>
      <c r="AR84" s="38"/>
      <c r="AS84" s="26"/>
      <c r="AT84" s="38"/>
      <c r="AU84" s="24"/>
      <c r="AV84" s="74"/>
    </row>
    <row r="85" spans="1:48" ht="12.75">
      <c r="A85" s="27" t="s">
        <v>82</v>
      </c>
      <c r="B85" s="17">
        <v>81</v>
      </c>
      <c r="C85" s="90">
        <v>0.009024938854284377</v>
      </c>
      <c r="D85" s="111">
        <v>306873.8644299838</v>
      </c>
      <c r="E85" s="37">
        <v>298580.70156305004</v>
      </c>
      <c r="F85" s="85">
        <f>C85*Allocations!$B$6</f>
        <v>288798.04333710007</v>
      </c>
      <c r="G85" s="85">
        <f t="shared" si="18"/>
        <v>894252.6093301339</v>
      </c>
      <c r="H85" s="86">
        <f t="shared" si="19"/>
        <v>298084.20311004465</v>
      </c>
      <c r="I85" s="62">
        <v>529561.6887032603</v>
      </c>
      <c r="J85" s="61">
        <f t="shared" si="24"/>
        <v>818359.7320403603</v>
      </c>
      <c r="K85" s="58">
        <f t="shared" si="25"/>
        <v>363066.18</v>
      </c>
      <c r="L85" s="58">
        <f t="shared" si="26"/>
        <v>290452.94</v>
      </c>
      <c r="M85" s="58">
        <f t="shared" si="28"/>
        <v>527906.7920403604</v>
      </c>
      <c r="N85" s="55">
        <f t="shared" si="20"/>
        <v>1.770998887336111</v>
      </c>
      <c r="O85" s="58"/>
      <c r="P85" s="21"/>
      <c r="Q85" s="21"/>
      <c r="R85" s="21"/>
      <c r="S85" s="59">
        <f t="shared" si="21"/>
        <v>0</v>
      </c>
      <c r="T85" s="65">
        <f t="shared" si="22"/>
        <v>288798.04333710007</v>
      </c>
      <c r="U85" s="64">
        <f t="shared" si="23"/>
        <v>0.009354673388762285</v>
      </c>
      <c r="V85" s="58">
        <f t="shared" si="29"/>
        <v>5440.645929284144</v>
      </c>
      <c r="W85" s="37">
        <f>C85*Allocations!$B$9</f>
        <v>298878.9000373357</v>
      </c>
      <c r="X85" s="62">
        <f t="shared" si="27"/>
        <v>543428.2946698801</v>
      </c>
      <c r="Y85" s="40"/>
      <c r="Z85" s="37"/>
      <c r="AA85" s="40"/>
      <c r="AB85" s="37"/>
      <c r="AC85" s="18"/>
      <c r="AD85" s="37"/>
      <c r="AE85" s="97"/>
      <c r="AF85" s="36"/>
      <c r="AG85" s="96">
        <v>363066.18</v>
      </c>
      <c r="AH85" s="139">
        <v>290452.94</v>
      </c>
      <c r="AI85" s="18"/>
      <c r="AJ85" s="37"/>
      <c r="AK85" s="18"/>
      <c r="AL85" s="37"/>
      <c r="AM85" s="18"/>
      <c r="AN85" s="37"/>
      <c r="AO85" s="18"/>
      <c r="AP85" s="37"/>
      <c r="AQ85" s="18"/>
      <c r="AR85" s="37"/>
      <c r="AS85" s="18"/>
      <c r="AT85" s="37"/>
      <c r="AU85" s="20"/>
      <c r="AV85" s="73"/>
    </row>
    <row r="86" spans="1:49" ht="12.75">
      <c r="A86" s="27" t="s">
        <v>83</v>
      </c>
      <c r="B86" s="17">
        <v>82</v>
      </c>
      <c r="C86" s="90">
        <v>0.0058781773466106855</v>
      </c>
      <c r="D86" s="111">
        <v>179686.04937244745</v>
      </c>
      <c r="E86" s="37">
        <v>182382.8753503566</v>
      </c>
      <c r="F86" s="85">
        <f>C86*Allocations!$B$6</f>
        <v>188101.67509154193</v>
      </c>
      <c r="G86" s="85">
        <f t="shared" si="18"/>
        <v>550170.599814346</v>
      </c>
      <c r="H86" s="86">
        <f t="shared" si="19"/>
        <v>183390.19993811531</v>
      </c>
      <c r="I86" s="62">
        <v>-21840.571324979304</v>
      </c>
      <c r="J86" s="61">
        <f t="shared" si="24"/>
        <v>166261.10376656262</v>
      </c>
      <c r="K86" s="58">
        <f t="shared" si="25"/>
        <v>907646.2949999999</v>
      </c>
      <c r="L86" s="58">
        <f t="shared" si="26"/>
        <v>726117.03</v>
      </c>
      <c r="M86" s="58">
        <f t="shared" si="28"/>
        <v>-559855.9262334374</v>
      </c>
      <c r="N86" s="55">
        <f t="shared" si="20"/>
        <v>-3.0528126716823456</v>
      </c>
      <c r="O86" s="58"/>
      <c r="P86" s="21"/>
      <c r="Q86" s="21"/>
      <c r="R86" s="21"/>
      <c r="S86" s="59">
        <f t="shared" si="21"/>
        <v>0</v>
      </c>
      <c r="T86" s="65">
        <f t="shared" si="22"/>
        <v>188101.67509154193</v>
      </c>
      <c r="U86" s="64">
        <f t="shared" si="23"/>
        <v>0.006092942022832633</v>
      </c>
      <c r="V86" s="58">
        <f t="shared" si="29"/>
        <v>3543.6341640437186</v>
      </c>
      <c r="W86" s="37">
        <f>C86*Allocations!$B$9</f>
        <v>194667.59918770607</v>
      </c>
      <c r="X86" s="62">
        <f t="shared" si="27"/>
        <v>-549746.3679732296</v>
      </c>
      <c r="Y86" s="40"/>
      <c r="Z86" s="37"/>
      <c r="AA86" s="40"/>
      <c r="AB86" s="37"/>
      <c r="AC86" s="18"/>
      <c r="AD86" s="37"/>
      <c r="AE86" s="96"/>
      <c r="AF86" s="86"/>
      <c r="AG86" s="96"/>
      <c r="AH86" s="86"/>
      <c r="AI86" s="18"/>
      <c r="AJ86" s="37"/>
      <c r="AK86" s="141">
        <f>1337473.23/2+238909.68</f>
        <v>907646.2949999999</v>
      </c>
      <c r="AL86" s="142">
        <f>1069978.58/2+191127.74</f>
        <v>726117.03</v>
      </c>
      <c r="AM86" s="18"/>
      <c r="AN86" s="37"/>
      <c r="AO86" s="18"/>
      <c r="AP86" s="37"/>
      <c r="AQ86" s="18"/>
      <c r="AR86" s="37"/>
      <c r="AS86" s="18"/>
      <c r="AT86" s="37"/>
      <c r="AU86" s="20"/>
      <c r="AV86" s="73"/>
      <c r="AW86" s="145" t="s">
        <v>151</v>
      </c>
    </row>
    <row r="87" spans="1:48" ht="12.75">
      <c r="A87" s="27" t="s">
        <v>84</v>
      </c>
      <c r="B87" s="17">
        <v>83</v>
      </c>
      <c r="C87" s="90">
        <v>0.013276282201758062</v>
      </c>
      <c r="D87" s="111">
        <v>446105.160846672</v>
      </c>
      <c r="E87" s="37">
        <v>399182.61943886545</v>
      </c>
      <c r="F87" s="85">
        <f>C87*Allocations!$B$6</f>
        <v>424841.030456258</v>
      </c>
      <c r="G87" s="85">
        <f t="shared" si="18"/>
        <v>1270128.8107417955</v>
      </c>
      <c r="H87" s="86">
        <f t="shared" si="19"/>
        <v>423376.2702472652</v>
      </c>
      <c r="I87" s="62">
        <v>70503.83201176109</v>
      </c>
      <c r="J87" s="61">
        <f t="shared" si="24"/>
        <v>495344.86246801907</v>
      </c>
      <c r="K87" s="58">
        <f t="shared" si="25"/>
        <v>287147.6</v>
      </c>
      <c r="L87" s="58">
        <f t="shared" si="26"/>
        <v>229718.08</v>
      </c>
      <c r="M87" s="58">
        <f t="shared" si="28"/>
        <v>265626.78246801905</v>
      </c>
      <c r="N87" s="55">
        <f t="shared" si="20"/>
        <v>0.6274012058183719</v>
      </c>
      <c r="O87" s="58"/>
      <c r="P87" s="21"/>
      <c r="Q87" s="21"/>
      <c r="R87" s="21"/>
      <c r="S87" s="59">
        <f t="shared" si="21"/>
        <v>0</v>
      </c>
      <c r="T87" s="65">
        <f t="shared" si="22"/>
        <v>424841.030456258</v>
      </c>
      <c r="U87" s="64">
        <f t="shared" si="23"/>
        <v>0.013761343519299935</v>
      </c>
      <c r="V87" s="58">
        <f t="shared" si="29"/>
        <v>8003.55014956498</v>
      </c>
      <c r="W87" s="37">
        <f>C87*Allocations!$B$9</f>
        <v>439670.6376756217</v>
      </c>
      <c r="X87" s="62">
        <f t="shared" si="27"/>
        <v>288459.93983694783</v>
      </c>
      <c r="Y87" s="108"/>
      <c r="Z87" s="86"/>
      <c r="AA87" s="40"/>
      <c r="AB87" s="37"/>
      <c r="AC87" s="18"/>
      <c r="AD87" s="37"/>
      <c r="AE87" s="97"/>
      <c r="AF87" s="36"/>
      <c r="AG87" s="96">
        <v>287147.6</v>
      </c>
      <c r="AH87" s="86">
        <v>229718.08</v>
      </c>
      <c r="AI87" s="18"/>
      <c r="AJ87" s="37"/>
      <c r="AK87" s="18"/>
      <c r="AL87" s="37"/>
      <c r="AM87" s="18"/>
      <c r="AN87" s="37"/>
      <c r="AO87" s="18"/>
      <c r="AP87" s="37"/>
      <c r="AQ87" s="18"/>
      <c r="AR87" s="37"/>
      <c r="AS87" s="18"/>
      <c r="AT87" s="37"/>
      <c r="AU87" s="124"/>
      <c r="AV87" s="123"/>
    </row>
    <row r="88" spans="1:48" ht="12.75">
      <c r="A88" s="27" t="s">
        <v>85</v>
      </c>
      <c r="B88" s="17">
        <v>84</v>
      </c>
      <c r="C88" s="90">
        <v>0.012826507062649727</v>
      </c>
      <c r="D88" s="111">
        <v>443358.16726720333</v>
      </c>
      <c r="E88" s="37">
        <v>412130.3621707523</v>
      </c>
      <c r="F88" s="85">
        <f>C88*Allocations!$B$6</f>
        <v>410448.2260047913</v>
      </c>
      <c r="G88" s="85">
        <f t="shared" si="18"/>
        <v>1265936.755442747</v>
      </c>
      <c r="H88" s="86">
        <f t="shared" si="19"/>
        <v>421978.91848091566</v>
      </c>
      <c r="I88" s="62">
        <v>297186.56268402043</v>
      </c>
      <c r="J88" s="61">
        <f t="shared" si="24"/>
        <v>707634.7886888117</v>
      </c>
      <c r="K88" s="58">
        <f t="shared" si="25"/>
        <v>273797</v>
      </c>
      <c r="L88" s="58">
        <f t="shared" si="26"/>
        <v>218237.6</v>
      </c>
      <c r="M88" s="58">
        <f t="shared" si="28"/>
        <v>489397.18868881173</v>
      </c>
      <c r="N88" s="55">
        <f t="shared" si="20"/>
        <v>1.1597669154909338</v>
      </c>
      <c r="O88" s="58"/>
      <c r="P88" s="21"/>
      <c r="Q88" s="21"/>
      <c r="R88" s="21"/>
      <c r="S88" s="59">
        <f t="shared" si="21"/>
        <v>0</v>
      </c>
      <c r="T88" s="65">
        <f t="shared" si="22"/>
        <v>410448.2260047913</v>
      </c>
      <c r="U88" s="64">
        <f t="shared" si="23"/>
        <v>0.013295135427181264</v>
      </c>
      <c r="V88" s="58">
        <f t="shared" si="29"/>
        <v>7732.405123632612</v>
      </c>
      <c r="W88" s="37">
        <f>C88*Allocations!$B$9</f>
        <v>424775.434393771</v>
      </c>
      <c r="X88" s="62">
        <f t="shared" si="27"/>
        <v>511456.802201424</v>
      </c>
      <c r="Y88" s="40"/>
      <c r="Z88" s="37"/>
      <c r="AA88" s="40"/>
      <c r="AB88" s="37"/>
      <c r="AC88" s="18"/>
      <c r="AD88" s="37"/>
      <c r="AE88" s="97"/>
      <c r="AF88" s="36"/>
      <c r="AG88" s="102"/>
      <c r="AH88" s="103"/>
      <c r="AI88" s="118">
        <v>273797</v>
      </c>
      <c r="AJ88" s="119">
        <v>218237.6</v>
      </c>
      <c r="AK88" s="96"/>
      <c r="AL88" s="86"/>
      <c r="AM88" s="18"/>
      <c r="AN88" s="37"/>
      <c r="AO88" s="18"/>
      <c r="AP88" s="37"/>
      <c r="AQ88" s="18"/>
      <c r="AR88" s="37"/>
      <c r="AS88" s="18"/>
      <c r="AT88" s="37"/>
      <c r="AU88" s="20"/>
      <c r="AV88" s="73"/>
    </row>
    <row r="89" spans="1:48" ht="12.75">
      <c r="A89" s="22" t="s">
        <v>86</v>
      </c>
      <c r="B89" s="23">
        <v>85</v>
      </c>
      <c r="C89" s="91">
        <v>0.010214779978818249</v>
      </c>
      <c r="D89" s="112">
        <v>306899.17790978565</v>
      </c>
      <c r="E89" s="38">
        <v>306399.19790281274</v>
      </c>
      <c r="F89" s="87">
        <f>C89*Allocations!$B$6</f>
        <v>326872.959322184</v>
      </c>
      <c r="G89" s="87">
        <f t="shared" si="18"/>
        <v>940171.3351347824</v>
      </c>
      <c r="H89" s="88">
        <f t="shared" si="19"/>
        <v>313390.4450449275</v>
      </c>
      <c r="I89" s="105">
        <v>629892.2562908034</v>
      </c>
      <c r="J89" s="92">
        <f t="shared" si="24"/>
        <v>956765.2156129874</v>
      </c>
      <c r="K89" s="60">
        <f t="shared" si="25"/>
        <v>368691.98</v>
      </c>
      <c r="L89" s="60">
        <f t="shared" si="26"/>
        <v>294953.58</v>
      </c>
      <c r="M89" s="60">
        <f t="shared" si="28"/>
        <v>661811.6356129874</v>
      </c>
      <c r="N89" s="56">
        <f t="shared" si="20"/>
        <v>2.111779877392594</v>
      </c>
      <c r="O89" s="60"/>
      <c r="P89" s="25"/>
      <c r="Q89" s="25"/>
      <c r="R89" s="25"/>
      <c r="S89" s="41">
        <f t="shared" si="21"/>
        <v>0</v>
      </c>
      <c r="T89" s="66">
        <f t="shared" si="22"/>
        <v>326872.959322184</v>
      </c>
      <c r="U89" s="67">
        <f t="shared" si="23"/>
        <v>0.01058798646536535</v>
      </c>
      <c r="V89" s="60">
        <f t="shared" si="29"/>
        <v>6157.936580801071</v>
      </c>
      <c r="W89" s="38">
        <f>C89*Allocations!$B$9</f>
        <v>338282.86855852394</v>
      </c>
      <c r="X89" s="106">
        <f t="shared" si="27"/>
        <v>679379.4814301284</v>
      </c>
      <c r="Y89" s="41"/>
      <c r="Z89" s="38"/>
      <c r="AA89" s="109">
        <v>368691.98</v>
      </c>
      <c r="AB89" s="88">
        <v>294953.58</v>
      </c>
      <c r="AC89" s="26"/>
      <c r="AD89" s="38"/>
      <c r="AE89" s="98"/>
      <c r="AF89" s="99"/>
      <c r="AG89" s="101"/>
      <c r="AH89" s="88"/>
      <c r="AI89" s="26"/>
      <c r="AJ89" s="38"/>
      <c r="AK89" s="26"/>
      <c r="AL89" s="38"/>
      <c r="AM89" s="26"/>
      <c r="AN89" s="38"/>
      <c r="AO89" s="26"/>
      <c r="AP89" s="38"/>
      <c r="AQ89" s="26"/>
      <c r="AR89" s="38"/>
      <c r="AS89" s="26"/>
      <c r="AT89" s="38"/>
      <c r="AU89" s="24"/>
      <c r="AV89" s="74"/>
    </row>
    <row r="90" spans="1:49" ht="12.75">
      <c r="A90" s="27" t="s">
        <v>87</v>
      </c>
      <c r="B90" s="17">
        <v>86</v>
      </c>
      <c r="C90" s="90">
        <v>0.01729154216120557</v>
      </c>
      <c r="D90" s="111">
        <v>522024.55369102705</v>
      </c>
      <c r="E90" s="37">
        <v>489656.8740741264</v>
      </c>
      <c r="F90" s="85">
        <f>C90*Allocations!$B$6</f>
        <v>553329.3491585782</v>
      </c>
      <c r="G90" s="85">
        <f t="shared" si="18"/>
        <v>1565010.7769237317</v>
      </c>
      <c r="H90" s="86">
        <f t="shared" si="19"/>
        <v>521670.25897457724</v>
      </c>
      <c r="I90" s="62">
        <v>1009758.567902317</v>
      </c>
      <c r="J90" s="61">
        <f t="shared" si="24"/>
        <v>1563087.9170608954</v>
      </c>
      <c r="K90" s="58">
        <f t="shared" si="25"/>
        <v>1187831.85</v>
      </c>
      <c r="L90" s="58">
        <f t="shared" si="26"/>
        <v>674308.64</v>
      </c>
      <c r="M90" s="58">
        <f t="shared" si="28"/>
        <v>888779.2770608953</v>
      </c>
      <c r="N90" s="55">
        <f t="shared" si="20"/>
        <v>1.703718511398229</v>
      </c>
      <c r="O90" s="58"/>
      <c r="P90" s="21"/>
      <c r="Q90" s="21"/>
      <c r="R90" s="21"/>
      <c r="S90" s="59">
        <f t="shared" si="21"/>
        <v>0</v>
      </c>
      <c r="T90" s="65">
        <f t="shared" si="22"/>
        <v>553329.3491585782</v>
      </c>
      <c r="U90" s="64">
        <f t="shared" si="23"/>
        <v>0.017923304735665953</v>
      </c>
      <c r="V90" s="58">
        <f t="shared" si="29"/>
        <v>10424.132505423824</v>
      </c>
      <c r="W90" s="37">
        <f>C90*Allocations!$B$9</f>
        <v>572644.0017526449</v>
      </c>
      <c r="X90" s="62">
        <f t="shared" si="27"/>
        <v>918518.0621603858</v>
      </c>
      <c r="Y90" s="150">
        <v>689892.1</v>
      </c>
      <c r="Z90" s="151">
        <v>275956.84</v>
      </c>
      <c r="AA90" s="40"/>
      <c r="AB90" s="37"/>
      <c r="AC90" s="18"/>
      <c r="AD90" s="37"/>
      <c r="AE90" s="97"/>
      <c r="AF90" s="36"/>
      <c r="AG90" s="96"/>
      <c r="AH90" s="86"/>
      <c r="AI90" s="96">
        <v>147700</v>
      </c>
      <c r="AJ90" s="86">
        <f>AI90*0.8</f>
        <v>118160</v>
      </c>
      <c r="AK90" s="18"/>
      <c r="AL90" s="37"/>
      <c r="AM90" s="18"/>
      <c r="AN90" s="37"/>
      <c r="AO90" s="18"/>
      <c r="AP90" s="37"/>
      <c r="AQ90" s="18"/>
      <c r="AR90" s="37"/>
      <c r="AS90" s="18"/>
      <c r="AT90" s="37"/>
      <c r="AU90" s="124">
        <v>350239.75</v>
      </c>
      <c r="AV90" s="123">
        <v>280191.8</v>
      </c>
      <c r="AW90" s="152" t="s">
        <v>154</v>
      </c>
    </row>
    <row r="91" spans="1:48" ht="12.75">
      <c r="A91" s="27" t="s">
        <v>88</v>
      </c>
      <c r="B91" s="17">
        <v>87</v>
      </c>
      <c r="C91" s="90">
        <v>0.008953209955606714</v>
      </c>
      <c r="D91" s="111">
        <v>319249.71328156383</v>
      </c>
      <c r="E91" s="37">
        <v>299830.77337371174</v>
      </c>
      <c r="F91" s="85">
        <f>C91*Allocations!$B$6</f>
        <v>286502.7185794148</v>
      </c>
      <c r="G91" s="85">
        <f t="shared" si="18"/>
        <v>905583.2052346903</v>
      </c>
      <c r="H91" s="86">
        <f t="shared" si="19"/>
        <v>301861.06841156346</v>
      </c>
      <c r="I91" s="62">
        <v>-216185.8188377252</v>
      </c>
      <c r="J91" s="61">
        <f t="shared" si="24"/>
        <v>70316.89974168962</v>
      </c>
      <c r="K91" s="58">
        <f t="shared" si="25"/>
        <v>0</v>
      </c>
      <c r="L91" s="58">
        <f t="shared" si="26"/>
        <v>0</v>
      </c>
      <c r="M91" s="58">
        <f t="shared" si="28"/>
        <v>70316.89974168962</v>
      </c>
      <c r="N91" s="55">
        <f t="shared" si="20"/>
        <v>0.23294457980854338</v>
      </c>
      <c r="O91" s="58"/>
      <c r="P91" s="21"/>
      <c r="Q91" s="21"/>
      <c r="R91" s="21"/>
      <c r="S91" s="59">
        <f t="shared" si="21"/>
        <v>0</v>
      </c>
      <c r="T91" s="65">
        <f t="shared" si="22"/>
        <v>286502.7185794148</v>
      </c>
      <c r="U91" s="64">
        <f t="shared" si="23"/>
        <v>0.009280323808061621</v>
      </c>
      <c r="V91" s="58">
        <f t="shared" si="29"/>
        <v>5397.404468383009</v>
      </c>
      <c r="W91" s="37">
        <f>C91*Allocations!$B$9</f>
        <v>296503.45409982756</v>
      </c>
      <c r="X91" s="62">
        <f t="shared" si="27"/>
        <v>85715.03973048535</v>
      </c>
      <c r="Y91" s="40"/>
      <c r="Z91" s="37"/>
      <c r="AA91" s="40"/>
      <c r="AB91" s="37"/>
      <c r="AC91" s="18"/>
      <c r="AD91" s="37"/>
      <c r="AE91" s="97"/>
      <c r="AF91" s="36"/>
      <c r="AG91" s="96"/>
      <c r="AH91" s="86"/>
      <c r="AI91" s="18"/>
      <c r="AJ91" s="37"/>
      <c r="AK91" s="18"/>
      <c r="AL91" s="37"/>
      <c r="AM91" s="18"/>
      <c r="AN91" s="37"/>
      <c r="AO91" s="18"/>
      <c r="AP91" s="37"/>
      <c r="AQ91" s="18"/>
      <c r="AR91" s="37"/>
      <c r="AS91" s="18"/>
      <c r="AT91" s="37"/>
      <c r="AU91" s="20"/>
      <c r="AV91" s="73"/>
    </row>
    <row r="92" spans="1:48" ht="12.75">
      <c r="A92" s="27" t="s">
        <v>89</v>
      </c>
      <c r="B92" s="17">
        <v>88</v>
      </c>
      <c r="C92" s="90">
        <v>0.004488971256189426</v>
      </c>
      <c r="D92" s="111">
        <v>188514.40173554022</v>
      </c>
      <c r="E92" s="37">
        <v>169704.5747769384</v>
      </c>
      <c r="F92" s="85">
        <f>C92*Allocations!$B$6</f>
        <v>143647.08019806162</v>
      </c>
      <c r="G92" s="85">
        <f t="shared" si="18"/>
        <v>501866.0567105402</v>
      </c>
      <c r="H92" s="86">
        <f t="shared" si="19"/>
        <v>167288.68557018007</v>
      </c>
      <c r="I92" s="62">
        <v>30008.85309803422</v>
      </c>
      <c r="J92" s="61">
        <f t="shared" si="24"/>
        <v>173655.93329609584</v>
      </c>
      <c r="K92" s="58">
        <f t="shared" si="25"/>
        <v>0</v>
      </c>
      <c r="L92" s="58">
        <f t="shared" si="26"/>
        <v>0</v>
      </c>
      <c r="M92" s="58">
        <f t="shared" si="28"/>
        <v>173655.93329609584</v>
      </c>
      <c r="N92" s="55">
        <f t="shared" si="20"/>
        <v>1.03806143675655</v>
      </c>
      <c r="O92" s="58"/>
      <c r="P92" s="21"/>
      <c r="Q92" s="21"/>
      <c r="R92" s="21"/>
      <c r="S92" s="59">
        <f t="shared" si="21"/>
        <v>0</v>
      </c>
      <c r="T92" s="65">
        <f t="shared" si="22"/>
        <v>143647.08019806162</v>
      </c>
      <c r="U92" s="64">
        <f t="shared" si="23"/>
        <v>0.004652979995898688</v>
      </c>
      <c r="V92" s="58">
        <f t="shared" si="29"/>
        <v>2706.157192418687</v>
      </c>
      <c r="W92" s="37">
        <f>C92*Allocations!$B$9</f>
        <v>148661.26109122523</v>
      </c>
      <c r="X92" s="62">
        <f t="shared" si="27"/>
        <v>181376.27138167812</v>
      </c>
      <c r="Y92" s="40"/>
      <c r="Z92" s="37"/>
      <c r="AA92" s="40"/>
      <c r="AB92" s="37"/>
      <c r="AC92" s="18"/>
      <c r="AD92" s="37"/>
      <c r="AE92" s="97"/>
      <c r="AF92" s="36"/>
      <c r="AG92" s="96"/>
      <c r="AH92" s="86"/>
      <c r="AI92" s="18"/>
      <c r="AJ92" s="37"/>
      <c r="AK92" s="18"/>
      <c r="AL92" s="37"/>
      <c r="AM92" s="96"/>
      <c r="AN92" s="86"/>
      <c r="AO92" s="18"/>
      <c r="AP92" s="37"/>
      <c r="AQ92" s="18"/>
      <c r="AR92" s="37"/>
      <c r="AS92" s="18"/>
      <c r="AT92" s="37"/>
      <c r="AU92" s="20"/>
      <c r="AV92" s="73"/>
    </row>
    <row r="93" spans="1:48" ht="12.75">
      <c r="A93" s="27" t="s">
        <v>90</v>
      </c>
      <c r="B93" s="17">
        <v>89</v>
      </c>
      <c r="C93" s="90">
        <v>0.013189865313769858</v>
      </c>
      <c r="D93" s="111">
        <v>328348.9562039183</v>
      </c>
      <c r="E93" s="37">
        <v>377188.26636795007</v>
      </c>
      <c r="F93" s="85">
        <f>C93*Allocations!$B$6</f>
        <v>422075.69004063547</v>
      </c>
      <c r="G93" s="85">
        <f t="shared" si="18"/>
        <v>1127612.9126125039</v>
      </c>
      <c r="H93" s="86">
        <f t="shared" si="19"/>
        <v>375870.9708708346</v>
      </c>
      <c r="I93" s="62">
        <v>683157.0782282946</v>
      </c>
      <c r="J93" s="61">
        <f t="shared" si="24"/>
        <v>1105232.76826893</v>
      </c>
      <c r="K93" s="58">
        <f t="shared" si="25"/>
        <v>240403.96</v>
      </c>
      <c r="L93" s="58">
        <f t="shared" si="26"/>
        <v>192323.16</v>
      </c>
      <c r="M93" s="58">
        <f t="shared" si="28"/>
        <v>912909.60826893</v>
      </c>
      <c r="N93" s="55">
        <f t="shared" si="20"/>
        <v>2.428784553789457</v>
      </c>
      <c r="O93" s="58"/>
      <c r="P93" s="21"/>
      <c r="Q93" s="21"/>
      <c r="R93" s="21"/>
      <c r="S93" s="59">
        <f t="shared" si="21"/>
        <v>0</v>
      </c>
      <c r="T93" s="65">
        <f t="shared" si="22"/>
        <v>422075.69004063547</v>
      </c>
      <c r="U93" s="64">
        <f t="shared" si="23"/>
        <v>0.013671769309939045</v>
      </c>
      <c r="V93" s="58">
        <f t="shared" si="29"/>
        <v>7951.4540968996225</v>
      </c>
      <c r="W93" s="37">
        <f>C93*Allocations!$B$9</f>
        <v>436808.7695961164</v>
      </c>
      <c r="X93" s="62">
        <f t="shared" si="27"/>
        <v>935594.1419213106</v>
      </c>
      <c r="Y93" s="108"/>
      <c r="Z93" s="86"/>
      <c r="AA93" s="40"/>
      <c r="AB93" s="37"/>
      <c r="AC93" s="96"/>
      <c r="AD93" s="86"/>
      <c r="AE93" s="97"/>
      <c r="AF93" s="36"/>
      <c r="AG93" s="96">
        <v>240403.96</v>
      </c>
      <c r="AH93" s="86">
        <v>192323.16</v>
      </c>
      <c r="AI93" s="18"/>
      <c r="AJ93" s="37"/>
      <c r="AK93" s="18"/>
      <c r="AL93" s="37"/>
      <c r="AM93" s="96"/>
      <c r="AN93" s="86"/>
      <c r="AO93" s="18"/>
      <c r="AP93" s="37"/>
      <c r="AQ93" s="18"/>
      <c r="AR93" s="37"/>
      <c r="AS93" s="96"/>
      <c r="AT93" s="86"/>
      <c r="AU93" s="20"/>
      <c r="AV93" s="73"/>
    </row>
    <row r="94" spans="1:48" ht="12.75">
      <c r="A94" s="22" t="s">
        <v>91</v>
      </c>
      <c r="B94" s="23">
        <v>90</v>
      </c>
      <c r="C94" s="91">
        <v>0.016620811392972917</v>
      </c>
      <c r="D94" s="112">
        <v>469853.81711250235</v>
      </c>
      <c r="E94" s="38">
        <v>440805.6657041435</v>
      </c>
      <c r="F94" s="87">
        <f>C94*Allocations!$B$6</f>
        <v>531865.9645751334</v>
      </c>
      <c r="G94" s="87">
        <f t="shared" si="18"/>
        <v>1442525.4473917792</v>
      </c>
      <c r="H94" s="88">
        <f t="shared" si="19"/>
        <v>480841.81579725974</v>
      </c>
      <c r="I94" s="105">
        <v>1579953.383811739</v>
      </c>
      <c r="J94" s="92">
        <f t="shared" si="24"/>
        <v>2111819.3483868726</v>
      </c>
      <c r="K94" s="60">
        <f t="shared" si="25"/>
        <v>277540.54</v>
      </c>
      <c r="L94" s="60">
        <f t="shared" si="26"/>
        <v>222032.43</v>
      </c>
      <c r="M94" s="60">
        <f t="shared" si="28"/>
        <v>1889786.9183868726</v>
      </c>
      <c r="N94" s="56">
        <f t="shared" si="20"/>
        <v>3.930163426517953</v>
      </c>
      <c r="O94" s="60">
        <v>462873.19</v>
      </c>
      <c r="P94" s="25">
        <v>370298.55</v>
      </c>
      <c r="Q94" s="25">
        <v>472565.53</v>
      </c>
      <c r="R94" s="25">
        <v>378052.43</v>
      </c>
      <c r="S94" s="41">
        <f>IF(((M94-G94)-(P94+R94))&gt;0,((M94-G94)-(P94+R94)),0)</f>
        <v>0</v>
      </c>
      <c r="T94" s="66">
        <f t="shared" si="22"/>
        <v>531865.9645751334</v>
      </c>
      <c r="U94" s="67">
        <f t="shared" si="23"/>
        <v>0.017228068195018213</v>
      </c>
      <c r="V94" s="60">
        <f t="shared" si="29"/>
        <v>10019.785320057776</v>
      </c>
      <c r="W94" s="38">
        <f>C94*Allocations!$B$9</f>
        <v>550431.4109010841</v>
      </c>
      <c r="X94" s="106">
        <f t="shared" si="27"/>
        <v>1918372.150032881</v>
      </c>
      <c r="Y94" s="109">
        <v>277540.54</v>
      </c>
      <c r="Z94" s="88">
        <v>222032.43</v>
      </c>
      <c r="AA94" s="41"/>
      <c r="AB94" s="38"/>
      <c r="AC94" s="26"/>
      <c r="AD94" s="38"/>
      <c r="AE94" s="98"/>
      <c r="AF94" s="99"/>
      <c r="AG94" s="101"/>
      <c r="AH94" s="88"/>
      <c r="AI94" s="26"/>
      <c r="AJ94" s="38"/>
      <c r="AK94" s="26"/>
      <c r="AL94" s="38"/>
      <c r="AM94" s="26"/>
      <c r="AN94" s="38"/>
      <c r="AO94" s="26"/>
      <c r="AP94" s="38"/>
      <c r="AQ94" s="26"/>
      <c r="AR94" s="38"/>
      <c r="AS94" s="26"/>
      <c r="AT94" s="38"/>
      <c r="AU94" s="24"/>
      <c r="AV94" s="74"/>
    </row>
    <row r="95" spans="1:48" ht="12.75">
      <c r="A95" s="27" t="s">
        <v>92</v>
      </c>
      <c r="B95" s="17">
        <v>91</v>
      </c>
      <c r="C95" s="90">
        <v>0.019211198622763735</v>
      </c>
      <c r="D95" s="111">
        <v>593480.634052979</v>
      </c>
      <c r="E95" s="37">
        <v>530110.9880294668</v>
      </c>
      <c r="F95" s="85">
        <f>C95*Allocations!$B$6</f>
        <v>614758.3559284395</v>
      </c>
      <c r="G95" s="85">
        <f t="shared" si="18"/>
        <v>1738349.9780108854</v>
      </c>
      <c r="H95" s="86">
        <f t="shared" si="19"/>
        <v>579449.9926702952</v>
      </c>
      <c r="I95" s="62">
        <v>1240078.3713136867</v>
      </c>
      <c r="J95" s="61">
        <f t="shared" si="24"/>
        <v>1854836.7272421261</v>
      </c>
      <c r="K95" s="58">
        <f t="shared" si="25"/>
        <v>1041753.03</v>
      </c>
      <c r="L95" s="58">
        <f t="shared" si="26"/>
        <v>833402.42</v>
      </c>
      <c r="M95" s="58">
        <f t="shared" si="28"/>
        <v>1021434.3072421261</v>
      </c>
      <c r="N95" s="55">
        <f t="shared" si="20"/>
        <v>1.762765243183493</v>
      </c>
      <c r="O95" s="58"/>
      <c r="P95" s="21"/>
      <c r="Q95" s="21"/>
      <c r="R95" s="21"/>
      <c r="S95" s="59">
        <f t="shared" si="21"/>
        <v>0</v>
      </c>
      <c r="T95" s="65">
        <f t="shared" si="22"/>
        <v>614758.3559284395</v>
      </c>
      <c r="U95" s="64">
        <f t="shared" si="23"/>
        <v>0.019913097631379446</v>
      </c>
      <c r="V95" s="58">
        <f t="shared" si="29"/>
        <v>11581.389222818902</v>
      </c>
      <c r="W95" s="37">
        <f>C95*Allocations!$B$9</f>
        <v>636217.2647900666</v>
      </c>
      <c r="X95" s="62">
        <f t="shared" si="27"/>
        <v>1054474.6053265722</v>
      </c>
      <c r="Y95" s="40"/>
      <c r="Z95" s="37"/>
      <c r="AA95" s="40"/>
      <c r="AB95" s="37"/>
      <c r="AC95" s="18"/>
      <c r="AD95" s="37"/>
      <c r="AE95" s="97"/>
      <c r="AF95" s="36"/>
      <c r="AG95" s="96"/>
      <c r="AH95" s="86"/>
      <c r="AI95" s="18"/>
      <c r="AJ95" s="37"/>
      <c r="AK95" s="18"/>
      <c r="AL95" s="37"/>
      <c r="AM95" s="18"/>
      <c r="AN95" s="37"/>
      <c r="AO95" s="18"/>
      <c r="AP95" s="37"/>
      <c r="AQ95" s="18"/>
      <c r="AR95" s="37"/>
      <c r="AS95" s="96">
        <v>1041753.03</v>
      </c>
      <c r="AT95" s="86">
        <v>833402.42</v>
      </c>
      <c r="AU95" s="20"/>
      <c r="AV95" s="73"/>
    </row>
    <row r="96" spans="1:48" ht="12.75">
      <c r="A96" s="28" t="s">
        <v>93</v>
      </c>
      <c r="B96" s="17">
        <v>92</v>
      </c>
      <c r="C96" s="90">
        <v>0.01134302589718917</v>
      </c>
      <c r="D96" s="111">
        <v>357676.76571619173</v>
      </c>
      <c r="E96" s="37">
        <v>343385.64511734934</v>
      </c>
      <c r="F96" s="85">
        <f>C96*Allocations!$B$6</f>
        <v>362976.8287100534</v>
      </c>
      <c r="G96" s="85">
        <f t="shared" si="18"/>
        <v>1064039.2395435944</v>
      </c>
      <c r="H96" s="86">
        <f t="shared" si="19"/>
        <v>354679.7465145315</v>
      </c>
      <c r="I96" s="62">
        <v>915706.2117569739</v>
      </c>
      <c r="J96" s="61">
        <f t="shared" si="24"/>
        <v>1278683.0404670273</v>
      </c>
      <c r="K96" s="58">
        <f t="shared" si="25"/>
        <v>294949.6</v>
      </c>
      <c r="L96" s="58">
        <f t="shared" si="26"/>
        <v>235959.68</v>
      </c>
      <c r="M96" s="58">
        <f t="shared" si="28"/>
        <v>1042723.3604670274</v>
      </c>
      <c r="N96" s="55">
        <f t="shared" si="20"/>
        <v>2.9399010535954195</v>
      </c>
      <c r="O96" s="58"/>
      <c r="P96" s="21"/>
      <c r="Q96" s="21"/>
      <c r="R96" s="21"/>
      <c r="S96" s="59">
        <f t="shared" si="21"/>
        <v>0</v>
      </c>
      <c r="T96" s="65">
        <f t="shared" si="22"/>
        <v>362976.8287100534</v>
      </c>
      <c r="U96" s="64">
        <f t="shared" si="23"/>
        <v>0.011757453897663096</v>
      </c>
      <c r="V96" s="58">
        <f t="shared" si="29"/>
        <v>6838.094824765477</v>
      </c>
      <c r="W96" s="37">
        <f>C96*Allocations!$B$9</f>
        <v>375646.9886372137</v>
      </c>
      <c r="X96" s="62">
        <f t="shared" si="27"/>
        <v>1062231.615218953</v>
      </c>
      <c r="Y96" s="40"/>
      <c r="Z96" s="37"/>
      <c r="AA96" s="40"/>
      <c r="AB96" s="37"/>
      <c r="AC96" s="18"/>
      <c r="AD96" s="37"/>
      <c r="AE96" s="97"/>
      <c r="AF96" s="36"/>
      <c r="AG96" s="96"/>
      <c r="AH96" s="86"/>
      <c r="AI96" s="18"/>
      <c r="AJ96" s="37"/>
      <c r="AK96" s="96">
        <v>294949.6</v>
      </c>
      <c r="AL96" s="86">
        <v>235959.68</v>
      </c>
      <c r="AM96" s="18"/>
      <c r="AN96" s="37"/>
      <c r="AO96" s="18"/>
      <c r="AP96" s="37"/>
      <c r="AQ96" s="18"/>
      <c r="AR96" s="37"/>
      <c r="AS96" s="18"/>
      <c r="AT96" s="37"/>
      <c r="AU96" s="20"/>
      <c r="AV96" s="73"/>
    </row>
    <row r="97" spans="1:49" ht="12.75">
      <c r="A97" s="28" t="s">
        <v>94</v>
      </c>
      <c r="B97" s="17">
        <v>93</v>
      </c>
      <c r="C97" s="90">
        <v>0.008018205340823098</v>
      </c>
      <c r="D97" s="111">
        <v>220930.3009574257</v>
      </c>
      <c r="E97" s="37">
        <v>236470.04419298962</v>
      </c>
      <c r="F97" s="85">
        <f>C97*Allocations!$B$6</f>
        <v>256582.57090633913</v>
      </c>
      <c r="G97" s="85">
        <f t="shared" si="18"/>
        <v>713982.9160567544</v>
      </c>
      <c r="H97" s="86">
        <f t="shared" si="19"/>
        <v>237994.30535225148</v>
      </c>
      <c r="I97" s="62">
        <v>753005.3802686313</v>
      </c>
      <c r="J97" s="61">
        <f t="shared" si="24"/>
        <v>1009587.9511749704</v>
      </c>
      <c r="K97" s="58">
        <f t="shared" si="25"/>
        <v>117300</v>
      </c>
      <c r="L97" s="58">
        <f t="shared" si="26"/>
        <v>93840</v>
      </c>
      <c r="M97" s="58">
        <f t="shared" si="28"/>
        <v>915747.9511749704</v>
      </c>
      <c r="N97" s="55">
        <f t="shared" si="20"/>
        <v>3.847772533126735</v>
      </c>
      <c r="O97" s="58"/>
      <c r="P97" s="21"/>
      <c r="Q97" s="21"/>
      <c r="R97" s="21"/>
      <c r="S97" s="147">
        <v>0</v>
      </c>
      <c r="T97" s="65">
        <f t="shared" si="22"/>
        <v>256582.57090633913</v>
      </c>
      <c r="U97" s="64">
        <f t="shared" si="23"/>
        <v>0.008311157930097368</v>
      </c>
      <c r="V97" s="58">
        <f t="shared" si="29"/>
        <v>4833.7409208045765</v>
      </c>
      <c r="W97" s="37">
        <f>C97*Allocations!$B$9</f>
        <v>265538.9062720385</v>
      </c>
      <c r="X97" s="62">
        <f t="shared" si="27"/>
        <v>929538.0274614743</v>
      </c>
      <c r="Y97" s="40"/>
      <c r="Z97" s="37"/>
      <c r="AA97" s="108">
        <v>117300</v>
      </c>
      <c r="AB97" s="86">
        <v>93840</v>
      </c>
      <c r="AC97" s="18"/>
      <c r="AD97" s="37"/>
      <c r="AE97" s="97"/>
      <c r="AF97" s="36"/>
      <c r="AG97" s="96"/>
      <c r="AH97" s="86"/>
      <c r="AI97" s="18"/>
      <c r="AJ97" s="37"/>
      <c r="AK97" s="96"/>
      <c r="AL97" s="86"/>
      <c r="AM97" s="18"/>
      <c r="AN97" s="37"/>
      <c r="AO97" s="18"/>
      <c r="AP97" s="37"/>
      <c r="AQ97" s="18"/>
      <c r="AR97" s="37"/>
      <c r="AS97" s="18"/>
      <c r="AT97" s="37"/>
      <c r="AU97" s="20"/>
      <c r="AV97" s="73"/>
      <c r="AW97" s="131" t="s">
        <v>153</v>
      </c>
    </row>
    <row r="98" spans="1:48" ht="12.75">
      <c r="A98" s="28" t="s">
        <v>95</v>
      </c>
      <c r="B98" s="17">
        <v>94</v>
      </c>
      <c r="C98" s="90">
        <v>0.009102337659425482</v>
      </c>
      <c r="D98" s="111">
        <v>323241.7990457861</v>
      </c>
      <c r="E98" s="37">
        <v>298226.8023399377</v>
      </c>
      <c r="F98" s="85">
        <f>C98*Allocations!$B$6</f>
        <v>291274.80510161543</v>
      </c>
      <c r="G98" s="85">
        <f t="shared" si="18"/>
        <v>912743.4064873392</v>
      </c>
      <c r="H98" s="86">
        <f t="shared" si="19"/>
        <v>304247.8021624464</v>
      </c>
      <c r="I98" s="62">
        <v>-1277016.8151614333</v>
      </c>
      <c r="J98" s="61">
        <f t="shared" si="24"/>
        <v>-985742.0100598179</v>
      </c>
      <c r="K98" s="58">
        <f t="shared" si="25"/>
        <v>0</v>
      </c>
      <c r="L98" s="58">
        <f t="shared" si="26"/>
        <v>0</v>
      </c>
      <c r="M98" s="58">
        <f t="shared" si="28"/>
        <v>-985742.0100598179</v>
      </c>
      <c r="N98" s="55">
        <f t="shared" si="20"/>
        <v>-3.2399314080615866</v>
      </c>
      <c r="O98" s="58"/>
      <c r="P98" s="21"/>
      <c r="Q98" s="21"/>
      <c r="R98" s="21"/>
      <c r="S98" s="59">
        <f t="shared" si="21"/>
        <v>0</v>
      </c>
      <c r="T98" s="65">
        <f t="shared" si="22"/>
        <v>291274.80510161543</v>
      </c>
      <c r="U98" s="64">
        <f t="shared" si="23"/>
        <v>0.009434900031232197</v>
      </c>
      <c r="V98" s="58">
        <f t="shared" si="29"/>
        <v>5487.305469134932</v>
      </c>
      <c r="W98" s="37">
        <f>C98*Allocations!$B$9</f>
        <v>301442.1162671937</v>
      </c>
      <c r="X98" s="62">
        <f t="shared" si="27"/>
        <v>-970087.3934251048</v>
      </c>
      <c r="Y98" s="40"/>
      <c r="Z98" s="37"/>
      <c r="AA98" s="40"/>
      <c r="AB98" s="37"/>
      <c r="AC98" s="18"/>
      <c r="AD98" s="37"/>
      <c r="AE98" s="97"/>
      <c r="AF98" s="36"/>
      <c r="AG98" s="96"/>
      <c r="AH98" s="86"/>
      <c r="AI98" s="18"/>
      <c r="AJ98" s="37"/>
      <c r="AK98" s="18"/>
      <c r="AL98" s="37"/>
      <c r="AM98" s="18"/>
      <c r="AN98" s="37"/>
      <c r="AO98" s="96"/>
      <c r="AP98" s="86"/>
      <c r="AQ98" s="96"/>
      <c r="AR98" s="86"/>
      <c r="AS98" s="18"/>
      <c r="AT98" s="37"/>
      <c r="AU98" s="20"/>
      <c r="AV98" s="73"/>
    </row>
    <row r="99" spans="1:48" ht="12.75">
      <c r="A99" s="29" t="s">
        <v>96</v>
      </c>
      <c r="B99" s="23">
        <v>95</v>
      </c>
      <c r="C99" s="91">
        <v>0.005595827736279033</v>
      </c>
      <c r="D99" s="112">
        <v>104358.34843698321</v>
      </c>
      <c r="E99" s="38">
        <v>192458.89723687002</v>
      </c>
      <c r="F99" s="87">
        <f>C99*Allocations!$B$6</f>
        <v>179066.48756092906</v>
      </c>
      <c r="G99" s="87">
        <f t="shared" si="18"/>
        <v>475883.73323478224</v>
      </c>
      <c r="H99" s="88">
        <f t="shared" si="19"/>
        <v>158627.91107826075</v>
      </c>
      <c r="I99" s="105">
        <v>-103917.01323372347</v>
      </c>
      <c r="J99" s="92">
        <f t="shared" si="24"/>
        <v>75149.4743272056</v>
      </c>
      <c r="K99" s="60">
        <f t="shared" si="25"/>
        <v>0</v>
      </c>
      <c r="L99" s="60">
        <f t="shared" si="26"/>
        <v>0</v>
      </c>
      <c r="M99" s="60">
        <f t="shared" si="28"/>
        <v>75149.4743272056</v>
      </c>
      <c r="N99" s="56">
        <f t="shared" si="20"/>
        <v>0.47374685713493264</v>
      </c>
      <c r="O99" s="60"/>
      <c r="P99" s="25"/>
      <c r="Q99" s="25"/>
      <c r="R99" s="25"/>
      <c r="S99" s="41">
        <f t="shared" si="21"/>
        <v>0</v>
      </c>
      <c r="T99" s="66">
        <f t="shared" si="22"/>
        <v>179066.48756092906</v>
      </c>
      <c r="U99" s="67">
        <f t="shared" si="23"/>
        <v>0.005800276506894758</v>
      </c>
      <c r="V99" s="60">
        <f t="shared" si="29"/>
        <v>3373.420904664503</v>
      </c>
      <c r="W99" s="38">
        <f>C99*Allocations!$B$9</f>
        <v>185317.02714235272</v>
      </c>
      <c r="X99" s="106">
        <f t="shared" si="27"/>
        <v>84773.43481329374</v>
      </c>
      <c r="Y99" s="41"/>
      <c r="Z99" s="38"/>
      <c r="AA99" s="41"/>
      <c r="AB99" s="38"/>
      <c r="AC99" s="101"/>
      <c r="AD99" s="88"/>
      <c r="AE99" s="98"/>
      <c r="AF99" s="99"/>
      <c r="AG99" s="101"/>
      <c r="AH99" s="88"/>
      <c r="AI99" s="26"/>
      <c r="AJ99" s="38"/>
      <c r="AK99" s="26"/>
      <c r="AL99" s="38"/>
      <c r="AM99" s="26"/>
      <c r="AN99" s="38"/>
      <c r="AO99" s="26"/>
      <c r="AP99" s="38"/>
      <c r="AQ99" s="26"/>
      <c r="AR99" s="38"/>
      <c r="AS99" s="26"/>
      <c r="AT99" s="38"/>
      <c r="AU99" s="24"/>
      <c r="AV99" s="74"/>
    </row>
    <row r="100" spans="1:48" ht="12.75">
      <c r="A100" s="28" t="s">
        <v>97</v>
      </c>
      <c r="B100" s="17">
        <v>96</v>
      </c>
      <c r="C100" s="90">
        <v>0.019004077904280908</v>
      </c>
      <c r="D100" s="111">
        <v>521128.59703262</v>
      </c>
      <c r="E100" s="37">
        <v>554483.5892170875</v>
      </c>
      <c r="F100" s="85">
        <f>C100*Allocations!$B$6</f>
        <v>608130.4929369891</v>
      </c>
      <c r="G100" s="85">
        <f t="shared" si="18"/>
        <v>1683742.6791866964</v>
      </c>
      <c r="H100" s="86">
        <f t="shared" si="19"/>
        <v>561247.5597288988</v>
      </c>
      <c r="I100" s="62">
        <v>859775.827852123</v>
      </c>
      <c r="J100" s="61">
        <f t="shared" si="24"/>
        <v>1467906.320789112</v>
      </c>
      <c r="K100" s="58">
        <f t="shared" si="25"/>
        <v>1611073.1400000001</v>
      </c>
      <c r="L100" s="58">
        <f t="shared" si="26"/>
        <v>1288858.51</v>
      </c>
      <c r="M100" s="58">
        <f t="shared" si="28"/>
        <v>179047.810789112</v>
      </c>
      <c r="N100" s="55">
        <f t="shared" si="20"/>
        <v>0.3190175310082382</v>
      </c>
      <c r="O100" s="58"/>
      <c r="P100" s="21"/>
      <c r="Q100" s="21"/>
      <c r="R100" s="21"/>
      <c r="S100" s="59">
        <f t="shared" si="21"/>
        <v>0</v>
      </c>
      <c r="T100" s="65">
        <f t="shared" si="22"/>
        <v>608130.4929369891</v>
      </c>
      <c r="U100" s="64">
        <f t="shared" si="23"/>
        <v>0.019698409564818994</v>
      </c>
      <c r="V100" s="58">
        <f t="shared" si="29"/>
        <v>11456.527380309128</v>
      </c>
      <c r="W100" s="37">
        <f>C100*Allocations!$B$9</f>
        <v>629358.0479560709</v>
      </c>
      <c r="X100" s="62">
        <f t="shared" si="27"/>
        <v>211731.89318850293</v>
      </c>
      <c r="Y100" s="108">
        <v>299303.9</v>
      </c>
      <c r="Z100" s="86">
        <v>239443.12</v>
      </c>
      <c r="AA100" s="40"/>
      <c r="AB100" s="37"/>
      <c r="AC100" s="18"/>
      <c r="AD100" s="37"/>
      <c r="AE100" s="96">
        <v>344574.65</v>
      </c>
      <c r="AF100" s="86">
        <v>275659.72</v>
      </c>
      <c r="AG100" s="96"/>
      <c r="AH100" s="86"/>
      <c r="AI100" s="96">
        <v>568248.59</v>
      </c>
      <c r="AJ100" s="104">
        <v>454598.87</v>
      </c>
      <c r="AK100" s="96">
        <v>398946</v>
      </c>
      <c r="AL100" s="86">
        <v>319156.8</v>
      </c>
      <c r="AM100" s="96"/>
      <c r="AN100" s="86"/>
      <c r="AO100" s="18"/>
      <c r="AP100" s="37"/>
      <c r="AQ100" s="18"/>
      <c r="AR100" s="37"/>
      <c r="AS100" s="18"/>
      <c r="AT100" s="37"/>
      <c r="AU100" s="20"/>
      <c r="AV100" s="73"/>
    </row>
    <row r="101" spans="1:48" ht="12.75">
      <c r="A101" s="28" t="s">
        <v>98</v>
      </c>
      <c r="B101" s="17">
        <v>97</v>
      </c>
      <c r="C101" s="90">
        <v>0.01593228052268878</v>
      </c>
      <c r="D101" s="111">
        <v>538891.6807358142</v>
      </c>
      <c r="E101" s="37">
        <v>517884.33148560114</v>
      </c>
      <c r="F101" s="85">
        <f>C101*Allocations!$B$6</f>
        <v>509832.976726041</v>
      </c>
      <c r="G101" s="85">
        <f>SUM(D101:F101)</f>
        <v>1566608.9889474562</v>
      </c>
      <c r="H101" s="86">
        <f t="shared" si="19"/>
        <v>522202.99631581875</v>
      </c>
      <c r="I101" s="62">
        <v>-635709.6832845556</v>
      </c>
      <c r="J101" s="61">
        <f t="shared" si="24"/>
        <v>-125876.70655851456</v>
      </c>
      <c r="K101" s="58">
        <f t="shared" si="25"/>
        <v>0</v>
      </c>
      <c r="L101" s="58">
        <f t="shared" si="26"/>
        <v>0</v>
      </c>
      <c r="M101" s="58">
        <f t="shared" si="28"/>
        <v>-125876.70655851456</v>
      </c>
      <c r="N101" s="55">
        <f t="shared" si="20"/>
        <v>-0.24104937628965012</v>
      </c>
      <c r="O101" s="58"/>
      <c r="P101" s="21"/>
      <c r="Q101" s="21"/>
      <c r="R101" s="21"/>
      <c r="S101" s="59">
        <f>IF(((M101-G101)-(P101+R101))&gt;0,((M101-G101)-(P101+R101)),0)</f>
        <v>0</v>
      </c>
      <c r="T101" s="65">
        <f>IF(S101&gt;0,0,F101)</f>
        <v>509832.976726041</v>
      </c>
      <c r="U101" s="64">
        <f>IF(T101&gt;0.01,F101/$T$104,0)</f>
        <v>0.016514381209035957</v>
      </c>
      <c r="V101" s="58">
        <f t="shared" si="29"/>
        <v>9604.707419023629</v>
      </c>
      <c r="W101" s="37">
        <f>C101*Allocations!$B$9</f>
        <v>527629.3340698844</v>
      </c>
      <c r="X101" s="62">
        <f t="shared" si="27"/>
        <v>-98475.64179564756</v>
      </c>
      <c r="Y101" s="40"/>
      <c r="Z101" s="37"/>
      <c r="AA101" s="40"/>
      <c r="AB101" s="37"/>
      <c r="AC101" s="18"/>
      <c r="AD101" s="37"/>
      <c r="AE101" s="97"/>
      <c r="AF101" s="36"/>
      <c r="AG101" s="96"/>
      <c r="AH101" s="86"/>
      <c r="AI101" s="96"/>
      <c r="AJ101" s="86"/>
      <c r="AK101" s="18"/>
      <c r="AL101" s="37"/>
      <c r="AM101" s="18"/>
      <c r="AN101" s="37"/>
      <c r="AO101" s="18"/>
      <c r="AP101" s="37"/>
      <c r="AQ101" s="18"/>
      <c r="AR101" s="37"/>
      <c r="AS101" s="96"/>
      <c r="AT101" s="86"/>
      <c r="AU101" s="20"/>
      <c r="AV101" s="73"/>
    </row>
    <row r="102" spans="1:48" ht="12.75">
      <c r="A102" s="28" t="s">
        <v>99</v>
      </c>
      <c r="B102" s="17">
        <v>98</v>
      </c>
      <c r="C102" s="90">
        <v>0.0046143209918466845</v>
      </c>
      <c r="D102" s="111">
        <v>135352.3861915038</v>
      </c>
      <c r="E102" s="37">
        <v>131364.49723909734</v>
      </c>
      <c r="F102" s="85">
        <f>C102*Allocations!$B$6</f>
        <v>147658.2717390939</v>
      </c>
      <c r="G102" s="85">
        <f>SUM(D102:F102)</f>
        <v>414375.15516969503</v>
      </c>
      <c r="H102" s="86">
        <f t="shared" si="19"/>
        <v>138125.05172323168</v>
      </c>
      <c r="I102" s="62">
        <v>388346.51469680876</v>
      </c>
      <c r="J102" s="61">
        <f t="shared" si="24"/>
        <v>536004.7864359027</v>
      </c>
      <c r="K102" s="58">
        <f t="shared" si="25"/>
        <v>243191</v>
      </c>
      <c r="L102" s="58">
        <f t="shared" si="26"/>
        <v>194552.8</v>
      </c>
      <c r="M102" s="58">
        <f t="shared" si="28"/>
        <v>341451.9864359027</v>
      </c>
      <c r="N102" s="55">
        <f t="shared" si="20"/>
        <v>2.4720496548308106</v>
      </c>
      <c r="O102" s="58"/>
      <c r="P102" s="21"/>
      <c r="Q102" s="21"/>
      <c r="R102" s="21"/>
      <c r="S102" s="59">
        <f>IF(((M102-G102)-(P102+R102))&gt;0,((M102-G102)-(P102+R102)),0)</f>
        <v>0</v>
      </c>
      <c r="T102" s="65">
        <f>IF(S102&gt;0,0,F102)</f>
        <v>147658.2717390939</v>
      </c>
      <c r="U102" s="64">
        <f>IF(T102&gt;0.01,F102/$T$104,0)</f>
        <v>0.00478290950072682</v>
      </c>
      <c r="V102" s="58">
        <f t="shared" si="29"/>
        <v>2781.723746392263</v>
      </c>
      <c r="W102" s="37">
        <f>C102*Allocations!$B$9</f>
        <v>152812.46828698664</v>
      </c>
      <c r="X102" s="62">
        <f t="shared" si="27"/>
        <v>349387.9067301877</v>
      </c>
      <c r="Y102" s="40"/>
      <c r="Z102" s="37"/>
      <c r="AA102" s="40"/>
      <c r="AB102" s="37"/>
      <c r="AC102" s="96"/>
      <c r="AD102" s="86"/>
      <c r="AE102" s="97"/>
      <c r="AF102" s="36"/>
      <c r="AG102" s="96"/>
      <c r="AH102" s="86"/>
      <c r="AI102" s="84"/>
      <c r="AJ102" s="45"/>
      <c r="AK102" s="18"/>
      <c r="AL102" s="37"/>
      <c r="AM102" s="18"/>
      <c r="AN102" s="37"/>
      <c r="AO102" s="97">
        <v>243191</v>
      </c>
      <c r="AP102" s="36">
        <v>194552.8</v>
      </c>
      <c r="AQ102" s="18"/>
      <c r="AR102" s="37"/>
      <c r="AS102" s="18"/>
      <c r="AT102" s="37"/>
      <c r="AU102" s="20"/>
      <c r="AV102" s="73"/>
    </row>
    <row r="103" spans="1:48" ht="12.75">
      <c r="A103" s="22" t="s">
        <v>100</v>
      </c>
      <c r="B103" s="23">
        <v>99</v>
      </c>
      <c r="C103" s="91">
        <v>0.00904713915694973</v>
      </c>
      <c r="D103" s="112">
        <v>283944.3251377551</v>
      </c>
      <c r="E103" s="38">
        <v>266512.06368933636</v>
      </c>
      <c r="F103" s="85">
        <f>C103*Allocations!$B$6</f>
        <v>289508.45302239136</v>
      </c>
      <c r="G103" s="87">
        <f>SUM(D103:F103)</f>
        <v>839964.8418494829</v>
      </c>
      <c r="H103" s="88">
        <f t="shared" si="19"/>
        <v>279988.2806164943</v>
      </c>
      <c r="I103" s="106">
        <v>54162.35536067342</v>
      </c>
      <c r="J103" s="61">
        <f t="shared" si="24"/>
        <v>343670.8083830648</v>
      </c>
      <c r="K103" s="58">
        <f t="shared" si="25"/>
        <v>400099.47</v>
      </c>
      <c r="L103" s="58">
        <f t="shared" si="26"/>
        <v>320079.57</v>
      </c>
      <c r="M103" s="58">
        <f t="shared" si="28"/>
        <v>23591.238383064803</v>
      </c>
      <c r="N103" s="55">
        <f t="shared" si="20"/>
        <v>0.084257949408169</v>
      </c>
      <c r="O103" s="60"/>
      <c r="P103" s="25"/>
      <c r="Q103" s="25"/>
      <c r="R103" s="25"/>
      <c r="S103" s="59">
        <f>IF(((M103-G103)-(P103+R103))&gt;0,((M103-G103)-(P103+R103)),0)</f>
        <v>0</v>
      </c>
      <c r="T103" s="65">
        <f>IF(S103&gt;0,0,F103)</f>
        <v>289508.45302239136</v>
      </c>
      <c r="U103" s="67">
        <f>IF(T103&gt;0.01,F103/$T$104,0)</f>
        <v>0.009377684800132397</v>
      </c>
      <c r="V103" s="60">
        <f t="shared" si="29"/>
        <v>5454.02928714122</v>
      </c>
      <c r="W103" s="37">
        <f>C103*Allocations!$B$9</f>
        <v>299614.1074607042</v>
      </c>
      <c r="X103" s="62">
        <f t="shared" si="27"/>
        <v>39150.92210851889</v>
      </c>
      <c r="Y103" s="41"/>
      <c r="Z103" s="38"/>
      <c r="AA103" s="41"/>
      <c r="AB103" s="38"/>
      <c r="AC103" s="26"/>
      <c r="AD103" s="38"/>
      <c r="AE103" s="101">
        <v>400099.47</v>
      </c>
      <c r="AF103" s="88">
        <v>320079.57</v>
      </c>
      <c r="AG103" s="101"/>
      <c r="AH103" s="88"/>
      <c r="AI103" s="26"/>
      <c r="AJ103" s="38"/>
      <c r="AK103" s="26"/>
      <c r="AL103" s="38"/>
      <c r="AM103" s="26"/>
      <c r="AN103" s="38"/>
      <c r="AO103" s="26"/>
      <c r="AP103" s="38"/>
      <c r="AQ103" s="101"/>
      <c r="AR103" s="88"/>
      <c r="AS103" s="26"/>
      <c r="AT103" s="38"/>
      <c r="AU103" s="24"/>
      <c r="AV103" s="74"/>
    </row>
    <row r="104" spans="1:48" ht="13.5" thickBot="1">
      <c r="A104" s="13"/>
      <c r="B104" s="30"/>
      <c r="C104" s="50">
        <f>SUM(C5:C103)</f>
        <v>0.9999999999999997</v>
      </c>
      <c r="D104" s="51">
        <f>SUM(D5:D103)</f>
        <v>32394376.344374105</v>
      </c>
      <c r="E104" s="52">
        <f>SUM(E5:E103)</f>
        <v>31110381.892106995</v>
      </c>
      <c r="F104" s="53">
        <f aca="true" t="shared" si="30" ref="F104:M104">SUM(F5:F103)</f>
        <v>32000000.000000004</v>
      </c>
      <c r="G104" s="54">
        <f t="shared" si="30"/>
        <v>95504758.23648109</v>
      </c>
      <c r="H104" s="46">
        <f t="shared" si="30"/>
        <v>31834919.412160352</v>
      </c>
      <c r="I104" s="89">
        <f t="shared" si="30"/>
        <v>33952741.52226779</v>
      </c>
      <c r="J104" s="53">
        <f t="shared" si="30"/>
        <v>65952741.522267774</v>
      </c>
      <c r="K104" s="53">
        <f t="shared" si="30"/>
        <v>39183682.92</v>
      </c>
      <c r="L104" s="53">
        <f t="shared" si="30"/>
        <v>30004601.783999998</v>
      </c>
      <c r="M104" s="53">
        <f t="shared" si="30"/>
        <v>35948139.73826778</v>
      </c>
      <c r="N104" s="107"/>
      <c r="O104" s="33"/>
      <c r="P104" s="33"/>
      <c r="Q104" s="33"/>
      <c r="R104" s="33"/>
      <c r="S104" s="68">
        <f aca="true" t="shared" si="31" ref="S104:AS104">SUM(S5:S103)</f>
        <v>581596.5671040915</v>
      </c>
      <c r="T104" s="69">
        <f t="shared" si="31"/>
        <v>30872060.55574655</v>
      </c>
      <c r="U104" s="70">
        <f t="shared" si="31"/>
        <v>0.9999999999999998</v>
      </c>
      <c r="V104" s="54">
        <f t="shared" si="31"/>
        <v>581596.5671040918</v>
      </c>
      <c r="W104" s="71">
        <f>SUM(W5:W103)</f>
        <v>33116999.999999993</v>
      </c>
      <c r="X104" s="120">
        <f t="shared" si="27"/>
        <v>37065139.73826778</v>
      </c>
      <c r="Y104" s="43">
        <f t="shared" si="31"/>
        <v>3025353.77</v>
      </c>
      <c r="Z104" s="46">
        <f>SUM(Z5:Z103)</f>
        <v>1868369.33</v>
      </c>
      <c r="AA104" s="43">
        <f t="shared" si="31"/>
        <v>4445296.9</v>
      </c>
      <c r="AB104" s="46">
        <f>SUM(AB5:AB103)</f>
        <v>2959947.05</v>
      </c>
      <c r="AC104" s="31">
        <f t="shared" si="31"/>
        <v>3847168.35</v>
      </c>
      <c r="AD104" s="46">
        <f>SUM(AD5:AD103)</f>
        <v>3077734.6799999997</v>
      </c>
      <c r="AE104" s="31">
        <f t="shared" si="31"/>
        <v>1780015.47</v>
      </c>
      <c r="AF104" s="46">
        <f>SUM(AF5:AF103)</f>
        <v>1424012.3699999999</v>
      </c>
      <c r="AG104" s="136">
        <f t="shared" si="31"/>
        <v>4908278.049999999</v>
      </c>
      <c r="AH104" s="137">
        <f>SUM(AH5:AH103)</f>
        <v>3926622.434000001</v>
      </c>
      <c r="AI104" s="31">
        <f t="shared" si="31"/>
        <v>5579901.35</v>
      </c>
      <c r="AJ104" s="46">
        <f>SUM(AJ5:AJ103)</f>
        <v>4463121.08</v>
      </c>
      <c r="AK104" s="31">
        <f t="shared" si="31"/>
        <v>3901788.56</v>
      </c>
      <c r="AL104" s="39">
        <f>SUM(AL5:AL103)</f>
        <v>3121430.8400000003</v>
      </c>
      <c r="AM104" s="31">
        <f t="shared" si="31"/>
        <v>2231203.25</v>
      </c>
      <c r="AN104" s="46">
        <f>SUM(AN5:AN103)</f>
        <v>1784962.5899999999</v>
      </c>
      <c r="AO104" s="31">
        <f t="shared" si="31"/>
        <v>2257619.85</v>
      </c>
      <c r="AP104" s="46">
        <f>SUM(AP5:AP103)</f>
        <v>1806095.8800000001</v>
      </c>
      <c r="AQ104" s="31">
        <f t="shared" si="31"/>
        <v>1978351.33</v>
      </c>
      <c r="AR104" s="46">
        <f>SUM(AR5:AR103)</f>
        <v>1582681.07</v>
      </c>
      <c r="AS104" s="31">
        <f t="shared" si="31"/>
        <v>3199685.2</v>
      </c>
      <c r="AT104" s="46">
        <f>SUM(AT5:AT103)</f>
        <v>2366407.7800000003</v>
      </c>
      <c r="AU104" s="32">
        <f>SUM(AU5:AU103)</f>
        <v>2029020.84</v>
      </c>
      <c r="AV104" s="72">
        <f>SUM(AV5:AV103)</f>
        <v>1623216.68</v>
      </c>
    </row>
    <row r="105" spans="9:48" ht="13.5" thickTop="1">
      <c r="I105" s="80"/>
      <c r="Z105" s="76">
        <f>IF(Y104=0,0,(Z104/Y104)*100)</f>
        <v>61.757052961115356</v>
      </c>
      <c r="AA105" s="13"/>
      <c r="AB105" s="76">
        <f>IF(AA104=0,0,(AB104/AA104)*100)</f>
        <v>66.58603725658908</v>
      </c>
      <c r="AC105" s="13"/>
      <c r="AD105" s="76">
        <f>IF(AC104=0,0,(AD104/AC104)*100)</f>
        <v>80</v>
      </c>
      <c r="AE105" s="13"/>
      <c r="AF105" s="76">
        <f>IF(AE104=0,0,(AF104/AE104)*100)</f>
        <v>79.99999966292427</v>
      </c>
      <c r="AG105" s="132"/>
      <c r="AH105" s="140">
        <f>IF(AG104=0,0,(AH104/AG104)*100)</f>
        <v>79.99999987775756</v>
      </c>
      <c r="AI105" s="13"/>
      <c r="AJ105" s="76">
        <f>IF(AI104=0,0,(AJ104/AI104)*100)</f>
        <v>79.9856628289674</v>
      </c>
      <c r="AK105" s="13"/>
      <c r="AL105" s="76">
        <f>IF(AK104=0,0,(AL104/AK104)*100)</f>
        <v>79.99999979496583</v>
      </c>
      <c r="AM105" s="13"/>
      <c r="AN105" s="76">
        <f>IF(AM104=0,0,(AN104/AM104)*100)</f>
        <v>79.99999955181133</v>
      </c>
      <c r="AO105" s="13"/>
      <c r="AP105" s="76">
        <f>IF(AO104=0,0,(AP104/AO104)*100)</f>
        <v>80</v>
      </c>
      <c r="AQ105" s="13"/>
      <c r="AR105" s="76">
        <f>IF(AQ104=0,0,(AR104/AQ104)*100)</f>
        <v>80.00000030328283</v>
      </c>
      <c r="AS105" s="13"/>
      <c r="AT105" s="76">
        <f>IF(AS104=0,0,(AT104/AS104)*100)</f>
        <v>73.95751869590171</v>
      </c>
      <c r="AU105" s="13"/>
      <c r="AV105" s="76">
        <f>IF(AU104=0,0,(AV104/AU104)*100)</f>
        <v>80.00000039427884</v>
      </c>
    </row>
    <row r="106" spans="19:36" ht="15" customHeight="1">
      <c r="S106" s="6"/>
      <c r="T106" s="6"/>
      <c r="Y106" s="5"/>
      <c r="Z106" s="5"/>
      <c r="AA106" s="5"/>
      <c r="AB106" s="5"/>
      <c r="AI106" s="177"/>
      <c r="AJ106" s="177"/>
    </row>
    <row r="107" spans="19:36" ht="12.75" customHeight="1">
      <c r="S107" s="6"/>
      <c r="T107" s="6"/>
      <c r="Y107" s="5"/>
      <c r="Z107" s="5"/>
      <c r="AA107" s="5"/>
      <c r="AB107" s="5"/>
      <c r="AI107" s="177"/>
      <c r="AJ107" s="177"/>
    </row>
    <row r="108" spans="35:36" ht="12.75" customHeight="1">
      <c r="AI108" s="178"/>
      <c r="AJ108" s="178"/>
    </row>
    <row r="109" spans="35:36" ht="12.75" customHeight="1">
      <c r="AI109" s="178"/>
      <c r="AJ109" s="178"/>
    </row>
    <row r="110" spans="35:36" ht="12.75" customHeight="1">
      <c r="AI110" s="179"/>
      <c r="AJ110" s="179"/>
    </row>
    <row r="111" spans="35:36" ht="12.75">
      <c r="AI111" s="179"/>
      <c r="AJ111" s="179"/>
    </row>
    <row r="112" spans="35:36" ht="12.75">
      <c r="AI112" s="179"/>
      <c r="AJ112" s="179"/>
    </row>
    <row r="113" spans="35:36" ht="12.75">
      <c r="AI113" s="179"/>
      <c r="AJ113" s="179"/>
    </row>
    <row r="114" spans="35:36" ht="12.75">
      <c r="AI114" s="179"/>
      <c r="AJ114" s="179"/>
    </row>
  </sheetData>
  <sheetProtection/>
  <mergeCells count="42">
    <mergeCell ref="AI106:AJ107"/>
    <mergeCell ref="AI108:AJ109"/>
    <mergeCell ref="AI110:AJ114"/>
    <mergeCell ref="A2:A4"/>
    <mergeCell ref="B2:B4"/>
    <mergeCell ref="M2:M4"/>
    <mergeCell ref="W2:W4"/>
    <mergeCell ref="N2:N4"/>
    <mergeCell ref="O2:R2"/>
    <mergeCell ref="J2:J4"/>
    <mergeCell ref="I2:I4"/>
    <mergeCell ref="C2:C4"/>
    <mergeCell ref="D2:H2"/>
    <mergeCell ref="D3:D4"/>
    <mergeCell ref="AI3:AJ3"/>
    <mergeCell ref="AM3:AN3"/>
    <mergeCell ref="L3:L4"/>
    <mergeCell ref="S2:S4"/>
    <mergeCell ref="U2:U4"/>
    <mergeCell ref="T2:T4"/>
    <mergeCell ref="V2:V4"/>
    <mergeCell ref="X2:X4"/>
    <mergeCell ref="Y2:AV2"/>
    <mergeCell ref="AO3:AP3"/>
    <mergeCell ref="AQ3:AR3"/>
    <mergeCell ref="AS3:AT3"/>
    <mergeCell ref="AU3:AV3"/>
    <mergeCell ref="Y3:Z3"/>
    <mergeCell ref="AA3:AB3"/>
    <mergeCell ref="AC3:AD3"/>
    <mergeCell ref="AE3:AF3"/>
    <mergeCell ref="A1:D1"/>
    <mergeCell ref="K2:L2"/>
    <mergeCell ref="O3:P3"/>
    <mergeCell ref="Q3:R3"/>
    <mergeCell ref="AK3:AL3"/>
    <mergeCell ref="AG3:AH3"/>
    <mergeCell ref="E3:E4"/>
    <mergeCell ref="F3:F4"/>
    <mergeCell ref="G3:G4"/>
    <mergeCell ref="H3:H4"/>
    <mergeCell ref="K3:K4"/>
  </mergeCells>
  <printOptions gridLines="1" headings="1"/>
  <pageMargins left="0.2" right="0.2" top="0.75" bottom="0.75" header="0.3" footer="0.3"/>
  <pageSetup fitToHeight="2" fitToWidth="1" horizontalDpi="600" verticalDpi="600" orientation="landscape" paperSize="17" r:id="rId1"/>
  <ignoredErrors>
    <ignoredError sqref="X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Buchwald</dc:creator>
  <cp:keywords/>
  <dc:description/>
  <cp:lastModifiedBy>nfox</cp:lastModifiedBy>
  <cp:lastPrinted>2011-12-01T21:17:46Z</cp:lastPrinted>
  <dcterms:created xsi:type="dcterms:W3CDTF">2010-06-08T23:01:27Z</dcterms:created>
  <dcterms:modified xsi:type="dcterms:W3CDTF">2014-03-26T14:23:34Z</dcterms:modified>
  <cp:category/>
  <cp:version/>
  <cp:contentType/>
  <cp:contentStatus/>
</cp:coreProperties>
</file>