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35" windowWidth="12120" windowHeight="9000" activeTab="0"/>
  </bookViews>
  <sheets>
    <sheet name="INPUT" sheetId="1" r:id="rId1"/>
    <sheet name="S1" sheetId="2" r:id="rId2"/>
    <sheet name="S2" sheetId="3" r:id="rId3"/>
    <sheet name="S3" sheetId="4" r:id="rId4"/>
    <sheet name="S4" sheetId="5" r:id="rId5"/>
  </sheets>
  <definedNames>
    <definedName name="AIT">'S1'!$H$24</definedName>
    <definedName name="I">'S1'!$I$26</definedName>
    <definedName name="ITEM100">'INPUT'!$E$25</definedName>
    <definedName name="ITEM19">'INPUT'!$E$30</definedName>
    <definedName name="ITEM28">'INPUT'!$E$20</definedName>
    <definedName name="ITEM29">'INPUT'!$E$21</definedName>
    <definedName name="ITEM32">'INPUT'!$E$24</definedName>
    <definedName name="ITEM36">'INPUT'!$E$34</definedName>
    <definedName name="ITEM43">'INPUT'!$E$23</definedName>
    <definedName name="ITEM51">'INPUT'!$E$22</definedName>
    <definedName name="ITEM53">'INPUT'!$E$26</definedName>
    <definedName name="ITEM58">'INPUT'!$E$13</definedName>
    <definedName name="ITEM59">'INPUT'!$E$6</definedName>
    <definedName name="ITEM60">'INPUT'!$E$7</definedName>
    <definedName name="ITEM62">'INPUT'!$E$8</definedName>
    <definedName name="ITEM66">'INPUT'!$E$9</definedName>
    <definedName name="ITEM67">'INPUT'!$E$14</definedName>
    <definedName name="ITEM68">'INPUT'!$E$15</definedName>
    <definedName name="ITEM69">'INPUT'!$E$16</definedName>
    <definedName name="ITEM71">'INPUT'!$E$17</definedName>
    <definedName name="ITEM72">'INPUT'!$E$18</definedName>
    <definedName name="J">'S2'!$J$29</definedName>
    <definedName name="K">'S3'!$H$3</definedName>
    <definedName name="_xlnm.Print_Area" localSheetId="0">'INPUT'!$A$1:$H$44</definedName>
    <definedName name="_xlnm.Print_Area">'INPUT'!$A$1:$H$50</definedName>
    <definedName name="'S1'">'INPUT'!$H$10</definedName>
    <definedName name="'S2'">'INPUT'!$H$27</definedName>
    <definedName name="'S3'">'INPUT'!$H$31</definedName>
    <definedName name="'S4'">'INPUT'!$H$35</definedName>
    <definedName name="X">'S2'!$J$38</definedName>
    <definedName name="Y">'S2'!$J$39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<sst xmlns="http://schemas.openxmlformats.org/spreadsheetml/2006/main" count="320" uniqueCount="236">
  <si>
    <t>County /City:</t>
  </si>
  <si>
    <t>Item 59. Superstructure Rating</t>
  </si>
  <si>
    <t>Item 60. Substructure Rating</t>
  </si>
  <si>
    <t>Item 62. Culvert Rating</t>
  </si>
  <si>
    <t>Item 66. Inventory Rating</t>
  </si>
  <si>
    <t xml:space="preserve">The calculated allowance for Structural Adequacy and Safety (S1) </t>
  </si>
  <si>
    <t xml:space="preserve">Item 58. Deck Condition Rating </t>
  </si>
  <si>
    <t>Item 67. Structural Condition Rating</t>
  </si>
  <si>
    <t>Item 68. Deck Geometry Rating</t>
  </si>
  <si>
    <t>Item 69. Underclearance Rating</t>
  </si>
  <si>
    <t>Item 71. Waterway Adequacy Rating</t>
  </si>
  <si>
    <t>Item 72. Approach Alignment Rating</t>
  </si>
  <si>
    <t>Item 28. Lanes on Structure</t>
  </si>
  <si>
    <t>Item 29. ADT on Structure</t>
  </si>
  <si>
    <t>Item 51. Roadway width - curb to curb</t>
  </si>
  <si>
    <t>Item 43. Main Structure Type</t>
  </si>
  <si>
    <t>Item 32. Approach Roadway Width</t>
  </si>
  <si>
    <t>Item 100. Is this a defense road (Y/N)</t>
  </si>
  <si>
    <t xml:space="preserve">Item 53. Vertical Clearance </t>
  </si>
  <si>
    <t>The calculated allowance for Serviceability and Obsolescence (S2)</t>
  </si>
  <si>
    <t>Item 19. Detour Length</t>
  </si>
  <si>
    <t>The calculated allowance for Essentiality for Public Use - S3     =</t>
  </si>
  <si>
    <t>Special Reduction - only used if S1+S2+S3&gt;=50%</t>
  </si>
  <si>
    <t>Item 36. Traffic Safety</t>
  </si>
  <si>
    <t>The allowance for Special Reductions (S4)</t>
  </si>
  <si>
    <t>SUFFICIENCY RATING SUMMARY</t>
  </si>
  <si>
    <t>Structural Adequacy and Safety</t>
  </si>
  <si>
    <t>Servicability &amp; Functional Obsolescence</t>
  </si>
  <si>
    <t>Essentiality for Public Use</t>
  </si>
  <si>
    <t>Special Reductions</t>
  </si>
  <si>
    <t>Sufficiency Rating   (S1 + S2 + S3 - S4 )</t>
  </si>
  <si>
    <t>Item</t>
  </si>
  <si>
    <t>BRIDGE SUFFICIENCY RATING CALCULATION</t>
  </si>
  <si>
    <t>Structural Adequacy &amp; Safety - S1 (max.) is 55%</t>
  </si>
  <si>
    <t>Serviceability and Functional Obsolescence - S2  (max.) is 30%</t>
  </si>
  <si>
    <t>Essentiality for Public Use - S3 (max.) = 15%</t>
  </si>
  <si>
    <t>Bridge ID:</t>
  </si>
  <si>
    <t>=</t>
  </si>
  <si>
    <t>(MUST START WITH "2")</t>
  </si>
  <si>
    <t>-    S1=</t>
  </si>
  <si>
    <t>-    S2=</t>
  </si>
  <si>
    <t>-    S3=</t>
  </si>
  <si>
    <t>-    S4=</t>
  </si>
  <si>
    <t>FHWA No.:</t>
  </si>
  <si>
    <t xml:space="preserve">=   </t>
  </si>
  <si>
    <t>(1)</t>
  </si>
  <si>
    <t>Structural Adequacy and Safety  (55% maximum)</t>
  </si>
  <si>
    <t>a.   Only the lowest code of Item 59, 60, or 62 applies</t>
  </si>
  <si>
    <t xml:space="preserve">    If # 59 (Superstructure Rating) or</t>
  </si>
  <si>
    <t xml:space="preserve">       #60 (Substructure Rating) is</t>
  </si>
  <si>
    <t xml:space="preserve">    If # 59 and #60 = N and</t>
  </si>
  <si>
    <t xml:space="preserve">       #62 (Culvert Rating) is</t>
  </si>
  <si>
    <t>b.   Reduction for Load Capacity:</t>
  </si>
  <si>
    <t xml:space="preserve">     (1)  Calculate AIT (Adjusted Inventory Tonnage)  as follows:</t>
  </si>
  <si>
    <t xml:space="preserve">            If the first digit of #66 = 1, AIT = the 2nd &amp; 3rd digits x 1.56</t>
  </si>
  <si>
    <t xml:space="preserve">            If the first digit of #66 = 2, AIT = the 2nd &amp; 3rd digits x 1.00</t>
  </si>
  <si>
    <t xml:space="preserve">            If the first digit of #66 = 3, AIT = the 2nd &amp; 3rd digits x 1.58</t>
  </si>
  <si>
    <t xml:space="preserve">            If the first digit of #66 = 4, AIT = the 2nd &amp; 3rd digits x 1.01</t>
  </si>
  <si>
    <t xml:space="preserve">            If the first digit of #66 = 5, AIT = the 2nd &amp; 3rd digits x 0.77</t>
  </si>
  <si>
    <t xml:space="preserve">            If the first digit of #66 = 6, AIT = the 2nd &amp; 3rd digits x 0.67</t>
  </si>
  <si>
    <t xml:space="preserve">            If the first digit of #66 = 9, AIT = the 2nd &amp; 3rd digits x 1.00</t>
  </si>
  <si>
    <t xml:space="preserve">    (2)   Calculate using the following formulas:</t>
  </si>
  <si>
    <t xml:space="preserve">           I = (36 - AIT)^1.5 * 0.2778 </t>
  </si>
  <si>
    <t xml:space="preserve">           If (36 - AIT) &lt; 0 then, I = 0</t>
  </si>
  <si>
    <t xml:space="preserve">           " I " shall not be less than 0% nor greater than 55%</t>
  </si>
  <si>
    <t>S1 = 55 - (A + B + C + D + E + F + G + H + I )</t>
  </si>
  <si>
    <t>S1 shall not be less than 0% nor greater than 55%</t>
  </si>
  <si>
    <t>&lt;=2 then</t>
  </si>
  <si>
    <t>=3</t>
  </si>
  <si>
    <t>=4</t>
  </si>
  <si>
    <t>=5</t>
  </si>
  <si>
    <t>A=55%</t>
  </si>
  <si>
    <t>B=40%</t>
  </si>
  <si>
    <t>C=25%</t>
  </si>
  <si>
    <t>D=10%</t>
  </si>
  <si>
    <t>E=55%</t>
  </si>
  <si>
    <t>F=40%</t>
  </si>
  <si>
    <t>G=25%</t>
  </si>
  <si>
    <t>H=10%</t>
  </si>
  <si>
    <t>A=</t>
  </si>
  <si>
    <t>B=</t>
  </si>
  <si>
    <t>C=</t>
  </si>
  <si>
    <t>D=</t>
  </si>
  <si>
    <t>E =</t>
  </si>
  <si>
    <t>F =</t>
  </si>
  <si>
    <t>G =</t>
  </si>
  <si>
    <t>H =</t>
  </si>
  <si>
    <t>AIT =</t>
  </si>
  <si>
    <t>Total =</t>
  </si>
  <si>
    <t>I =</t>
  </si>
  <si>
    <t>S1 =</t>
  </si>
  <si>
    <t>Serviceability and Functional Obsolence  ( 30% maximum)</t>
  </si>
  <si>
    <t>a.   Rating Reductions ( 13% Maximum)</t>
  </si>
  <si>
    <t xml:space="preserve">         If #58 (Deck Condition) is</t>
  </si>
  <si>
    <t xml:space="preserve">         If #67 (Structural Evaluation) is</t>
  </si>
  <si>
    <t xml:space="preserve">         If #68 (Deck Geometry) is</t>
  </si>
  <si>
    <t xml:space="preserve">         If #69 (Underclearances) is</t>
  </si>
  <si>
    <t xml:space="preserve">         If #71 (Waterway Adequacy) is</t>
  </si>
  <si>
    <t xml:space="preserve">         If #72 (Approach Road Alignment) is</t>
  </si>
  <si>
    <t xml:space="preserve">         J = (A + B+ C + D + E + F )</t>
  </si>
  <si>
    <t xml:space="preserve">         J shall not be less than 0% nor greater than 13%</t>
  </si>
  <si>
    <t>b.  Width of Roadway Insufficiency ( 15% maximum)</t>
  </si>
  <si>
    <t xml:space="preserve">         Use the sections that apply:</t>
  </si>
  <si>
    <t xml:space="preserve">         Also determine X and Y:</t>
  </si>
  <si>
    <t xml:space="preserve">         X (ADT / Lane)      =</t>
  </si>
  <si>
    <t xml:space="preserve">         Y(Width / Lane)     =</t>
  </si>
  <si>
    <t xml:space="preserve">         (1)   Use when the last 2 digits of #43 (Structure Type) are not equal to 19 (Culvert)</t>
  </si>
  <si>
    <t xml:space="preserve">                 If (#51 + 2 Ft.)  &lt; #32  (Approach Roadway Width)   G  =  5%</t>
  </si>
  <si>
    <t xml:space="preserve">         (2)   For 1-lane bridge only, use the following:</t>
  </si>
  <si>
    <t xml:space="preserve">                 If the first 2 digits of #28 (Lanes) are equal to 01 and</t>
  </si>
  <si>
    <t xml:space="preserve">          (3)  For 2 or more lane bridges.  If these limits apply, do not continue on to (4)</t>
  </si>
  <si>
    <t xml:space="preserve">                 as no lane width reductions are allowed.</t>
  </si>
  <si>
    <t xml:space="preserve">                 If the first 2 digits of #28 = 02 and Y&gt;= 16,</t>
  </si>
  <si>
    <t xml:space="preserve">                 If the first 2 digits of #28 = 03 and Y&gt;= 15,</t>
  </si>
  <si>
    <t xml:space="preserve">                 If the first 2 digits of #28 = 04 and Y&gt;= 14,</t>
  </si>
  <si>
    <t xml:space="preserve">                 If the first 2 digits of #28 &gt;= 05 and Y&gt;= 12,</t>
  </si>
  <si>
    <t xml:space="preserve">          (4)   For all EXCEPT 1-lane bridges, use the following:</t>
  </si>
  <si>
    <t xml:space="preserve">                  If X &gt; 50 but &lt;= 125 and</t>
  </si>
  <si>
    <t xml:space="preserve">                  If X &gt;125 but &lt;= 375 and</t>
  </si>
  <si>
    <t xml:space="preserve">                  If X &gt;375 but &lt;= 1350 and</t>
  </si>
  <si>
    <t xml:space="preserve">                  If X &gt;1350</t>
  </si>
  <si>
    <t xml:space="preserve">   G + H shall not be less than 0% nor greater than 15%.</t>
  </si>
  <si>
    <t>c.  Vertical Clearance Insufficiency - ( 2% maximum)</t>
  </si>
  <si>
    <t xml:space="preserve">     If #100  ( Defense Highway Designation)  &gt; 0 and</t>
  </si>
  <si>
    <t xml:space="preserve">     If #100 = 0 and</t>
  </si>
  <si>
    <t>S2 = 30 - [ J + ( G + H ) + I ]</t>
  </si>
  <si>
    <t>S2 shall not be less than 0% nor greater than 30%</t>
  </si>
  <si>
    <t>(1) applies to all bridges;</t>
  </si>
  <si>
    <t>(2) applies to 1-lane brides only;</t>
  </si>
  <si>
    <t>(3) applies to 2 or more lane bridges;</t>
  </si>
  <si>
    <t>(4) applies to all EXCEPT 1-lane bridges.</t>
  </si>
  <si>
    <t>Y&lt;14</t>
  </si>
  <si>
    <t>Y&gt;=14&lt;18</t>
  </si>
  <si>
    <t>Y&gt;=18</t>
  </si>
  <si>
    <t>If  Y&lt; 9 and X &gt; 50    then</t>
  </si>
  <si>
    <t xml:space="preserve">    Y&lt; 9 and X &lt;= 50</t>
  </si>
  <si>
    <t xml:space="preserve">    Y&gt; =9 and X &lt;= 50</t>
  </si>
  <si>
    <t>Y &lt; 10</t>
  </si>
  <si>
    <t>Y &gt;=10 &lt; 13</t>
  </si>
  <si>
    <t>Y &gt;= 13</t>
  </si>
  <si>
    <t>Y &lt; 11</t>
  </si>
  <si>
    <t>Y &gt;= 11 &lt; 14</t>
  </si>
  <si>
    <t>Y &gt;= 14</t>
  </si>
  <si>
    <t>Y &lt; 12</t>
  </si>
  <si>
    <t>Y &gt;= 12 &lt; 16</t>
  </si>
  <si>
    <t>Y &gt;= 16</t>
  </si>
  <si>
    <t>Y &lt; 15</t>
  </si>
  <si>
    <t>Y &gt;= 15 &lt; 16</t>
  </si>
  <si>
    <t>#29 (ADT / first 2 digits of #28 (Lanes)</t>
  </si>
  <si>
    <t>#51 (Bridge Rdwy. Width) / first 2 digits of #28</t>
  </si>
  <si>
    <t>then</t>
  </si>
  <si>
    <t>#53 (VC over Deck)  &gt;= 0</t>
  </si>
  <si>
    <t>#53 &lt; 16.00</t>
  </si>
  <si>
    <t>#53 &gt;= 14.00</t>
  </si>
  <si>
    <t>#53 &lt; 14.00</t>
  </si>
  <si>
    <t>&lt;=3 then</t>
  </si>
  <si>
    <t>H = 15%</t>
  </si>
  <si>
    <t>H = 15 (18-Y)/4%</t>
  </si>
  <si>
    <t>H = 0%</t>
  </si>
  <si>
    <t>A=5%</t>
  </si>
  <si>
    <t>A=3%</t>
  </si>
  <si>
    <t>A=1%</t>
  </si>
  <si>
    <t>B=4%</t>
  </si>
  <si>
    <t>B=2%</t>
  </si>
  <si>
    <t>B=1%</t>
  </si>
  <si>
    <t>C=4%</t>
  </si>
  <si>
    <t>C=2%</t>
  </si>
  <si>
    <t>C=1%</t>
  </si>
  <si>
    <t>D=4%</t>
  </si>
  <si>
    <t>D=2%</t>
  </si>
  <si>
    <t>D=1%</t>
  </si>
  <si>
    <t>E=4%</t>
  </si>
  <si>
    <t>E=2%</t>
  </si>
  <si>
    <t>E=1%</t>
  </si>
  <si>
    <t>F=4%</t>
  </si>
  <si>
    <t>F=2%</t>
  </si>
  <si>
    <t>F=1%</t>
  </si>
  <si>
    <t>H = 7.5%</t>
  </si>
  <si>
    <t>H = 15(13-Y)/3</t>
  </si>
  <si>
    <t>H = 15(14-Y)/3</t>
  </si>
  <si>
    <t>H = 15(16-Y)/3</t>
  </si>
  <si>
    <t>H = 15(16-Y)</t>
  </si>
  <si>
    <t>I = 0%</t>
  </si>
  <si>
    <t>I = 2%</t>
  </si>
  <si>
    <t>A =</t>
  </si>
  <si>
    <t>B =</t>
  </si>
  <si>
    <t>C =</t>
  </si>
  <si>
    <t>D =</t>
  </si>
  <si>
    <t>J =</t>
  </si>
  <si>
    <t xml:space="preserve">Use: J = </t>
  </si>
  <si>
    <t xml:space="preserve">X= </t>
  </si>
  <si>
    <t>Y =</t>
  </si>
  <si>
    <t>G + H =</t>
  </si>
  <si>
    <t>Total</t>
  </si>
  <si>
    <t>S2 =</t>
  </si>
  <si>
    <t>If H=1 then all scenerios for part should =0</t>
  </si>
  <si>
    <t>3. Essentiality for Public Use ( 15% maximum)</t>
  </si>
  <si>
    <t xml:space="preserve">    </t>
  </si>
  <si>
    <t>a.  Determine:</t>
  </si>
  <si>
    <t xml:space="preserve">             K = (S1 + S2)/85</t>
  </si>
  <si>
    <t>b.  Calculate:</t>
  </si>
  <si>
    <t xml:space="preserve">             A = [#29 ( ADT) x #19 ( Detour Length)] / 200,000 x K) x 15</t>
  </si>
  <si>
    <t xml:space="preserve">             "A" shall not be less than 0% nor greater than 15%</t>
  </si>
  <si>
    <t>c.   Defense Highway Designation:</t>
  </si>
  <si>
    <t>S3 = 15 - ( A + B )</t>
  </si>
  <si>
    <t>S3 shall not be less than 0% nor greater than 15%.</t>
  </si>
  <si>
    <t>If #100 is &gt; 0</t>
  </si>
  <si>
    <t>If #100 = 0</t>
  </si>
  <si>
    <t>B = 2%</t>
  </si>
  <si>
    <t>B = 0%</t>
  </si>
  <si>
    <t>Use</t>
  </si>
  <si>
    <t xml:space="preserve">S3 = </t>
  </si>
  <si>
    <t>4.  Special Reductions  ( Use only when S1 + S2 + S3 &gt;= 50)</t>
  </si>
  <si>
    <t xml:space="preserve">     a.  Detour Length Reduction, use the following:</t>
  </si>
  <si>
    <t xml:space="preserve">     b.  If the 2nd and 3rd digits of #43  ( Structural Type, Main ) are equal to</t>
  </si>
  <si>
    <t xml:space="preserve">   c.  If 2 digits of #36  ( Traffic Safety Features )  = 0     C=1</t>
  </si>
  <si>
    <t xml:space="preserve">        If 3 digits of #36  ( Traffic Safety Features )  = 0     C=2</t>
  </si>
  <si>
    <t xml:space="preserve">        If 4 digits of #36  ( Traffic Safety Features )  = 0     C=3</t>
  </si>
  <si>
    <t xml:space="preserve">     S4 = A + B + C </t>
  </si>
  <si>
    <t xml:space="preserve">     S4 shall not be less than 0 nor greater than 13</t>
  </si>
  <si>
    <t>A = (#19)^4 x ( 5.205 x 10^-8 )</t>
  </si>
  <si>
    <t>" A " shall not be less than 0 nor greater than 5</t>
  </si>
  <si>
    <t>B = 5%</t>
  </si>
  <si>
    <t>2nd and 3rd digits</t>
  </si>
  <si>
    <t>1st Digit</t>
  </si>
  <si>
    <t>2nd Digit</t>
  </si>
  <si>
    <t>3rd Digit</t>
  </si>
  <si>
    <t>4th Digit</t>
  </si>
  <si>
    <t xml:space="preserve">A = </t>
  </si>
  <si>
    <t xml:space="preserve">B = </t>
  </si>
  <si>
    <t>S4=</t>
  </si>
  <si>
    <t>Number of 0's</t>
  </si>
  <si>
    <t xml:space="preserve">     Allowance for Serviceability  -J (max.) is 13% =</t>
  </si>
  <si>
    <t>N</t>
  </si>
  <si>
    <t>0000</t>
  </si>
  <si>
    <t xml:space="preserve">          10, 12, 13, 14, 15, 16, 17 or 80;  then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</si>
</sst>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"/>
    <numFmt numFmtId="165" formatCode="000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u val="single"/>
      <sz val="10"/>
      <name val="Arial"/>
      <family val="0"/>
    </font>
    <font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49" fontId="8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showOutlineSymbols="0" zoomScale="87" zoomScaleNormal="87" workbookViewId="0" topLeftCell="A24">
      <selection activeCell="H3" sqref="H3"/>
    </sheetView>
  </sheetViews>
  <sheetFormatPr defaultColWidth="8.88671875" defaultRowHeight="15"/>
  <cols>
    <col min="1" max="1" width="11.6640625" style="1" customWidth="1"/>
    <col min="2" max="2" width="8.6640625" style="1" customWidth="1"/>
    <col min="3" max="3" width="11.6640625" style="1" customWidth="1"/>
    <col min="4" max="4" width="8.6640625" style="1" customWidth="1"/>
    <col min="5" max="5" width="9.6640625" style="1" customWidth="1"/>
    <col min="6" max="6" width="10.6640625" style="1" customWidth="1"/>
    <col min="7" max="7" width="9.6640625" style="1" customWidth="1"/>
    <col min="8" max="8" width="12.6640625" style="1" customWidth="1"/>
    <col min="9" max="16384" width="9.6640625" style="1" customWidth="1"/>
  </cols>
  <sheetData>
    <row r="1" spans="1:10" ht="15">
      <c r="A1" s="2"/>
      <c r="B1" s="3"/>
      <c r="C1" s="4" t="s">
        <v>32</v>
      </c>
      <c r="D1" s="3"/>
      <c r="E1" s="3"/>
      <c r="F1" s="3"/>
      <c r="G1" s="3"/>
      <c r="H1" s="3"/>
      <c r="I1" s="3"/>
      <c r="J1" s="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4" t="s">
        <v>0</v>
      </c>
      <c r="B3"/>
      <c r="C3" s="31"/>
      <c r="D3" s="2" t="s">
        <v>36</v>
      </c>
      <c r="E3" s="29"/>
      <c r="F3" s="30"/>
      <c r="G3" s="2" t="s">
        <v>43</v>
      </c>
      <c r="H3" s="28">
        <v>152810</v>
      </c>
      <c r="I3" s="2"/>
      <c r="J3" s="2"/>
    </row>
    <row r="4" spans="1:10" ht="15">
      <c r="A4" s="6"/>
      <c r="B4" s="6"/>
      <c r="C4" s="6"/>
      <c r="D4" s="6"/>
      <c r="E4" s="6"/>
      <c r="F4" s="6"/>
      <c r="G4" s="6"/>
      <c r="H4" s="6"/>
      <c r="I4" s="2"/>
      <c r="J4" s="2"/>
    </row>
    <row r="5" spans="1:10" ht="15">
      <c r="A5" s="2"/>
      <c r="B5" s="3"/>
      <c r="C5" s="4" t="s">
        <v>33</v>
      </c>
      <c r="D5" s="3"/>
      <c r="E5" s="3"/>
      <c r="F5" s="3"/>
      <c r="G5" s="3"/>
      <c r="H5" s="3"/>
      <c r="I5" s="3"/>
      <c r="J5" s="3"/>
    </row>
    <row r="6" spans="1:10" ht="15">
      <c r="A6" s="2" t="s">
        <v>1</v>
      </c>
      <c r="B6" s="2"/>
      <c r="C6" s="2"/>
      <c r="D6" s="7" t="s">
        <v>37</v>
      </c>
      <c r="E6" s="27">
        <v>6</v>
      </c>
      <c r="F6" s="2"/>
      <c r="G6" s="2"/>
      <c r="H6" s="2"/>
      <c r="I6" s="2">
        <f>IF(AND(ITEM59&gt;0,ITEM59&lt;=4),1,0)</f>
        <v>0</v>
      </c>
      <c r="J6" s="2"/>
    </row>
    <row r="7" spans="1:10" ht="15">
      <c r="A7" s="2" t="s">
        <v>2</v>
      </c>
      <c r="B7" s="2"/>
      <c r="C7" s="2"/>
      <c r="D7" s="7" t="s">
        <v>37</v>
      </c>
      <c r="E7" s="27">
        <v>7</v>
      </c>
      <c r="F7" s="2"/>
      <c r="G7" s="2"/>
      <c r="H7" s="2"/>
      <c r="I7" s="2">
        <f>IF(AND(ITEM60&gt;0,ITEM60&lt;=4),1,0)</f>
        <v>0</v>
      </c>
      <c r="J7" s="2"/>
    </row>
    <row r="8" spans="1:10" ht="15">
      <c r="A8" s="2" t="s">
        <v>3</v>
      </c>
      <c r="B8" s="2"/>
      <c r="C8" s="2"/>
      <c r="D8" s="7" t="s">
        <v>37</v>
      </c>
      <c r="E8" s="27" t="s">
        <v>233</v>
      </c>
      <c r="F8" s="2"/>
      <c r="G8" s="2"/>
      <c r="H8" s="2"/>
      <c r="I8" s="2">
        <f>IF(AND(ITEM62&gt;0,ITEM62&lt;=4),1,0)</f>
        <v>0</v>
      </c>
      <c r="J8" s="2"/>
    </row>
    <row r="9" spans="1:10" ht="15">
      <c r="A9" s="2" t="s">
        <v>4</v>
      </c>
      <c r="B9" s="2"/>
      <c r="C9" s="2"/>
      <c r="D9" s="7" t="s">
        <v>37</v>
      </c>
      <c r="E9" s="27">
        <v>217</v>
      </c>
      <c r="F9" s="8" t="s">
        <v>38</v>
      </c>
      <c r="G9" s="2"/>
      <c r="H9" s="2"/>
      <c r="I9" s="2"/>
      <c r="J9" s="2"/>
    </row>
    <row r="10" spans="1:10" ht="15">
      <c r="A10" s="2" t="s">
        <v>5</v>
      </c>
      <c r="B10" s="2"/>
      <c r="C10" s="2"/>
      <c r="D10" s="2"/>
      <c r="E10" s="2"/>
      <c r="F10" s="2"/>
      <c r="G10" s="9" t="s">
        <v>37</v>
      </c>
      <c r="H10" s="10">
        <f>('S1'!I30)</f>
        <v>31.992859596203626</v>
      </c>
      <c r="I10" s="2"/>
      <c r="J10" s="2"/>
    </row>
    <row r="11" spans="1:10" ht="15">
      <c r="A11" s="6"/>
      <c r="B11" s="6"/>
      <c r="C11" s="6"/>
      <c r="D11" s="6"/>
      <c r="E11" s="6"/>
      <c r="F11" s="6"/>
      <c r="G11" s="6"/>
      <c r="H11" s="6"/>
      <c r="I11" s="2"/>
      <c r="J11" s="2"/>
    </row>
    <row r="12" spans="1:10" ht="15">
      <c r="A12" s="2"/>
      <c r="B12" s="3"/>
      <c r="C12" s="4" t="s">
        <v>34</v>
      </c>
      <c r="D12" s="3"/>
      <c r="E12" s="3"/>
      <c r="F12" s="3"/>
      <c r="G12" s="3"/>
      <c r="H12" s="3"/>
      <c r="I12" s="3"/>
      <c r="J12" s="3"/>
    </row>
    <row r="13" spans="1:10" ht="15">
      <c r="A13" s="2" t="s">
        <v>6</v>
      </c>
      <c r="B13" s="2"/>
      <c r="C13" s="2"/>
      <c r="D13" s="7" t="s">
        <v>37</v>
      </c>
      <c r="E13" s="27">
        <v>5</v>
      </c>
      <c r="F13" s="2"/>
      <c r="G13" s="2"/>
      <c r="H13" s="2"/>
      <c r="I13" s="2">
        <f>IF(AND(ITEM58&gt;0,ITEM58&lt;=4),1,0)</f>
        <v>0</v>
      </c>
      <c r="J13" s="2"/>
    </row>
    <row r="14" spans="1:10" ht="15">
      <c r="A14" s="2" t="s">
        <v>7</v>
      </c>
      <c r="B14" s="2"/>
      <c r="C14" s="2"/>
      <c r="D14" s="7" t="s">
        <v>37</v>
      </c>
      <c r="E14" s="27">
        <v>4</v>
      </c>
      <c r="F14" s="2"/>
      <c r="G14" s="2"/>
      <c r="H14" s="2"/>
      <c r="I14" s="2">
        <f>IF(AND(ITEM67&gt;0,ITEM67&lt;=2),1,0)</f>
        <v>0</v>
      </c>
      <c r="J14" s="2"/>
    </row>
    <row r="15" spans="1:10" ht="15">
      <c r="A15" s="2" t="s">
        <v>8</v>
      </c>
      <c r="B15" s="2"/>
      <c r="C15" s="2"/>
      <c r="D15" s="7" t="s">
        <v>37</v>
      </c>
      <c r="E15" s="27">
        <v>8</v>
      </c>
      <c r="F15" s="2"/>
      <c r="G15" s="2"/>
      <c r="H15" s="2"/>
      <c r="I15" s="2">
        <f>IF(AND(ITEM68&gt;0,ITEM68&lt;=3),1,0)</f>
        <v>0</v>
      </c>
      <c r="J15" s="2"/>
    </row>
    <row r="16" spans="1:10" ht="15">
      <c r="A16" s="2" t="s">
        <v>9</v>
      </c>
      <c r="B16" s="2"/>
      <c r="C16" s="2"/>
      <c r="D16" s="7" t="s">
        <v>37</v>
      </c>
      <c r="E16" s="27" t="s">
        <v>233</v>
      </c>
      <c r="F16" s="2"/>
      <c r="G16" s="2"/>
      <c r="H16" s="2"/>
      <c r="I16" s="2">
        <f>IF(AND(ITEM69&gt;0,ITEM69&lt;=3),1,0)</f>
        <v>0</v>
      </c>
      <c r="J16" s="2"/>
    </row>
    <row r="17" spans="1:10" ht="15">
      <c r="A17" s="2" t="s">
        <v>10</v>
      </c>
      <c r="B17" s="2"/>
      <c r="C17" s="2"/>
      <c r="D17" s="7" t="s">
        <v>37</v>
      </c>
      <c r="E17" s="27">
        <v>5</v>
      </c>
      <c r="F17" s="2"/>
      <c r="G17" s="2"/>
      <c r="H17" s="2"/>
      <c r="I17" s="2">
        <f>IF(AND(ITEM71&gt;0,ITEM71&lt;=2),1,0)</f>
        <v>0</v>
      </c>
      <c r="J17" s="2"/>
    </row>
    <row r="18" spans="1:10" ht="15">
      <c r="A18" s="2" t="s">
        <v>11</v>
      </c>
      <c r="B18" s="2"/>
      <c r="C18" s="2"/>
      <c r="D18" s="7" t="s">
        <v>37</v>
      </c>
      <c r="E18" s="27">
        <v>4</v>
      </c>
      <c r="F18" s="2"/>
      <c r="G18" s="2"/>
      <c r="H18" s="2"/>
      <c r="I18" s="2">
        <f>IF(AND(ITEM72&gt;0,ITEM72&lt;=3),1,0)</f>
        <v>0</v>
      </c>
      <c r="J18" s="2"/>
    </row>
    <row r="19" spans="1:10" ht="15">
      <c r="A19" s="2" t="s">
        <v>232</v>
      </c>
      <c r="B19" s="4"/>
      <c r="C19" s="2"/>
      <c r="D19" s="3"/>
      <c r="E19" s="3">
        <f>(J)</f>
        <v>6</v>
      </c>
      <c r="F19" s="4"/>
      <c r="G19" s="3"/>
      <c r="H19" s="3"/>
      <c r="I19" s="3"/>
      <c r="J19" s="3"/>
    </row>
    <row r="20" spans="1:10" ht="15">
      <c r="A20" s="2" t="s">
        <v>12</v>
      </c>
      <c r="B20" s="2"/>
      <c r="C20" s="2"/>
      <c r="D20" s="7" t="s">
        <v>37</v>
      </c>
      <c r="E20" s="32">
        <v>1</v>
      </c>
      <c r="F20" s="2"/>
      <c r="G20" s="2"/>
      <c r="H20" s="2"/>
      <c r="I20" s="2"/>
      <c r="J20" s="2"/>
    </row>
    <row r="21" spans="1:10" ht="15">
      <c r="A21" s="2" t="s">
        <v>13</v>
      </c>
      <c r="B21" s="2"/>
      <c r="C21" s="2"/>
      <c r="D21" s="7" t="s">
        <v>37</v>
      </c>
      <c r="E21" s="32">
        <v>90</v>
      </c>
      <c r="F21" s="2"/>
      <c r="G21" s="2"/>
      <c r="H21" s="2"/>
      <c r="I21" s="2"/>
      <c r="J21" s="2"/>
    </row>
    <row r="22" spans="1:10" ht="15">
      <c r="A22" s="2" t="s">
        <v>14</v>
      </c>
      <c r="B22" s="2"/>
      <c r="C22" s="2"/>
      <c r="D22" s="7" t="s">
        <v>37</v>
      </c>
      <c r="E22" s="32">
        <v>15.9</v>
      </c>
      <c r="F22" s="2"/>
      <c r="G22" s="2"/>
      <c r="H22" s="2"/>
      <c r="I22" s="2"/>
      <c r="J22" s="2"/>
    </row>
    <row r="23" spans="1:10" ht="15">
      <c r="A23" s="2" t="s">
        <v>15</v>
      </c>
      <c r="B23" s="2"/>
      <c r="C23" s="2"/>
      <c r="D23" s="7" t="s">
        <v>37</v>
      </c>
      <c r="E23" s="27">
        <v>380</v>
      </c>
      <c r="F23" s="2"/>
      <c r="G23" s="2"/>
      <c r="H23" s="2"/>
      <c r="I23" s="2"/>
      <c r="J23" s="2"/>
    </row>
    <row r="24" spans="1:10" ht="15">
      <c r="A24" s="2" t="s">
        <v>16</v>
      </c>
      <c r="B24" s="2"/>
      <c r="C24" s="2"/>
      <c r="D24" s="7" t="s">
        <v>37</v>
      </c>
      <c r="E24" s="32">
        <v>24</v>
      </c>
      <c r="F24" s="2"/>
      <c r="G24" s="2"/>
      <c r="H24" s="2"/>
      <c r="I24" s="2"/>
      <c r="J24" s="2"/>
    </row>
    <row r="25" spans="1:10" ht="15">
      <c r="A25" s="2" t="s">
        <v>17</v>
      </c>
      <c r="B25" s="2"/>
      <c r="C25" s="2"/>
      <c r="D25" s="7" t="s">
        <v>37</v>
      </c>
      <c r="E25" s="32" t="s">
        <v>233</v>
      </c>
      <c r="F25" s="2"/>
      <c r="G25" s="2"/>
      <c r="H25" s="2"/>
      <c r="I25" s="2"/>
      <c r="J25" s="2"/>
    </row>
    <row r="26" spans="1:10" ht="15">
      <c r="A26" s="2" t="s">
        <v>18</v>
      </c>
      <c r="B26" s="2"/>
      <c r="C26" s="2"/>
      <c r="D26" s="7" t="s">
        <v>37</v>
      </c>
      <c r="E26" s="32">
        <v>9999</v>
      </c>
      <c r="F26" s="2"/>
      <c r="G26" s="2"/>
      <c r="H26" s="2"/>
      <c r="I26" s="2"/>
      <c r="J26" s="2"/>
    </row>
    <row r="27" spans="1:10" ht="15">
      <c r="A27" s="2" t="s">
        <v>19</v>
      </c>
      <c r="B27" s="2"/>
      <c r="C27" s="2"/>
      <c r="D27" s="2"/>
      <c r="E27" s="2"/>
      <c r="F27" s="2"/>
      <c r="G27" s="9" t="s">
        <v>37</v>
      </c>
      <c r="H27" s="10">
        <f>('S2'!K94)</f>
        <v>11.125</v>
      </c>
      <c r="I27" s="2"/>
      <c r="J27" s="2"/>
    </row>
    <row r="28" spans="1:10" ht="15">
      <c r="A28" s="6"/>
      <c r="B28" s="6"/>
      <c r="C28" s="6"/>
      <c r="D28" s="6"/>
      <c r="E28" s="6"/>
      <c r="F28" s="6"/>
      <c r="G28" s="6"/>
      <c r="H28" s="6"/>
      <c r="I28" s="2"/>
      <c r="J28" s="2"/>
    </row>
    <row r="29" spans="1:10" ht="15">
      <c r="A29" s="2"/>
      <c r="B29" s="3"/>
      <c r="C29" s="4" t="s">
        <v>35</v>
      </c>
      <c r="D29" s="3"/>
      <c r="E29" s="3"/>
      <c r="F29" s="3"/>
      <c r="G29" s="3"/>
      <c r="H29" s="3"/>
      <c r="I29" s="3"/>
      <c r="J29" s="3"/>
    </row>
    <row r="30" spans="1:10" ht="15">
      <c r="A30" s="2" t="s">
        <v>20</v>
      </c>
      <c r="B30" s="2"/>
      <c r="C30" s="2"/>
      <c r="D30" s="7" t="s">
        <v>37</v>
      </c>
      <c r="E30" s="32">
        <v>4</v>
      </c>
      <c r="F30" s="2"/>
      <c r="G30" s="2"/>
      <c r="H30" s="2"/>
      <c r="I30" s="2"/>
      <c r="J30" s="2"/>
    </row>
    <row r="31" spans="1:10" ht="15">
      <c r="A31" s="10" t="s">
        <v>21</v>
      </c>
      <c r="B31" s="2"/>
      <c r="C31" s="2"/>
      <c r="D31" s="2"/>
      <c r="E31" s="33"/>
      <c r="F31" s="2"/>
      <c r="G31" s="9" t="s">
        <v>37</v>
      </c>
      <c r="H31" s="10">
        <f>('S3'!H13)</f>
        <v>14.946773795789204</v>
      </c>
      <c r="I31" s="2"/>
      <c r="J31" s="2"/>
    </row>
    <row r="32" spans="1:10" ht="15">
      <c r="A32" s="6"/>
      <c r="B32" s="6"/>
      <c r="C32" s="6"/>
      <c r="D32" s="6"/>
      <c r="E32" s="6"/>
      <c r="F32" s="6"/>
      <c r="G32" s="6"/>
      <c r="H32" s="6"/>
      <c r="I32" s="2"/>
      <c r="J32" s="2"/>
    </row>
    <row r="33" spans="1:10" ht="15">
      <c r="A33" s="2" t="s">
        <v>22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 t="s">
        <v>23</v>
      </c>
      <c r="B34" s="2"/>
      <c r="C34" s="2"/>
      <c r="D34" s="7" t="s">
        <v>37</v>
      </c>
      <c r="E34" s="34" t="s">
        <v>234</v>
      </c>
      <c r="F34" s="2"/>
      <c r="G34" s="2"/>
      <c r="H34" s="2"/>
      <c r="I34" s="2"/>
      <c r="J34" s="2"/>
    </row>
    <row r="35" spans="1:10" ht="15">
      <c r="A35" s="2" t="s">
        <v>24</v>
      </c>
      <c r="B35" s="2"/>
      <c r="C35" s="2"/>
      <c r="D35" s="2"/>
      <c r="E35"/>
      <c r="F35" s="2"/>
      <c r="G35" s="9" t="s">
        <v>37</v>
      </c>
      <c r="H35" s="10">
        <f>('S4'!H27)</f>
        <v>8.000013324800001</v>
      </c>
      <c r="I35" s="2"/>
      <c r="J35" s="2"/>
    </row>
    <row r="36" spans="1:10" ht="15">
      <c r="A36" s="11"/>
      <c r="B36" s="11"/>
      <c r="C36" s="11"/>
      <c r="D36" s="11"/>
      <c r="E36" s="11"/>
      <c r="F36" s="11"/>
      <c r="G36" s="11"/>
      <c r="H36" s="11"/>
      <c r="I36" s="2"/>
      <c r="J36" s="2"/>
    </row>
    <row r="37" spans="1:10" ht="15">
      <c r="A37" s="2" t="s">
        <v>25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6"/>
      <c r="B38" s="6" t="s">
        <v>31</v>
      </c>
      <c r="C38" s="6"/>
      <c r="D38" s="6"/>
      <c r="E38" s="6"/>
      <c r="F38" s="6"/>
      <c r="G38" s="6"/>
      <c r="H38" s="6"/>
      <c r="I38" s="2"/>
      <c r="J38" s="2"/>
    </row>
    <row r="39" spans="1:10" ht="15">
      <c r="A39" s="2" t="s">
        <v>26</v>
      </c>
      <c r="B39" s="2"/>
      <c r="C39" s="2"/>
      <c r="D39" s="2"/>
      <c r="E39" s="2"/>
      <c r="F39" s="9" t="s">
        <v>39</v>
      </c>
      <c r="G39" s="8">
        <f>('S1'!I30)</f>
        <v>31.992859596203626</v>
      </c>
      <c r="H39" s="2"/>
      <c r="I39" s="2"/>
      <c r="J39" s="2"/>
    </row>
    <row r="40" spans="1:10" ht="15">
      <c r="A40" s="2" t="s">
        <v>27</v>
      </c>
      <c r="B40" s="2"/>
      <c r="C40" s="2"/>
      <c r="D40" s="2"/>
      <c r="E40" s="2"/>
      <c r="F40" s="9" t="s">
        <v>40</v>
      </c>
      <c r="G40" s="8">
        <f>('S2')</f>
        <v>11.125</v>
      </c>
      <c r="H40" s="2"/>
      <c r="I40" s="2"/>
      <c r="J40" s="2"/>
    </row>
    <row r="41" spans="1:10" ht="15">
      <c r="A41" s="2" t="s">
        <v>28</v>
      </c>
      <c r="B41" s="2"/>
      <c r="C41" s="2"/>
      <c r="D41" s="2"/>
      <c r="E41" s="2"/>
      <c r="F41" s="9" t="s">
        <v>41</v>
      </c>
      <c r="G41" s="8">
        <f>('S3')</f>
        <v>14.946773795789204</v>
      </c>
      <c r="H41" s="2"/>
      <c r="I41" s="2"/>
      <c r="J41" s="2"/>
    </row>
    <row r="42" spans="1:10" ht="15">
      <c r="A42" s="2" t="s">
        <v>29</v>
      </c>
      <c r="B42" s="2"/>
      <c r="C42" s="2"/>
      <c r="D42" s="2"/>
      <c r="E42" s="2"/>
      <c r="F42" s="9" t="s">
        <v>42</v>
      </c>
      <c r="G42" s="8">
        <f>('S4')</f>
        <v>8.000013324800001</v>
      </c>
      <c r="H42" s="2"/>
      <c r="I42" s="2"/>
      <c r="J42" s="2"/>
    </row>
    <row r="43" spans="1:10" ht="15">
      <c r="A43" s="6"/>
      <c r="B43" s="6"/>
      <c r="C43" s="6"/>
      <c r="D43" s="6"/>
      <c r="E43" s="6"/>
      <c r="F43" s="6"/>
      <c r="G43" s="6"/>
      <c r="H43" s="6"/>
      <c r="I43" s="2"/>
      <c r="J43" s="2"/>
    </row>
    <row r="44" spans="1:10" ht="15">
      <c r="A44" s="2" t="s">
        <v>30</v>
      </c>
      <c r="B44" s="2"/>
      <c r="C44" s="2"/>
      <c r="D44" s="2"/>
      <c r="E44" s="2"/>
      <c r="F44" s="2"/>
      <c r="G44" s="9" t="s">
        <v>44</v>
      </c>
      <c r="H44" s="10">
        <f>ROUND((SUM(G39:G41)-G42),0)</f>
        <v>50</v>
      </c>
      <c r="I44" s="2"/>
      <c r="J44" s="2"/>
    </row>
    <row r="45" spans="1:10" ht="15">
      <c r="A45" s="6"/>
      <c r="B45" s="6"/>
      <c r="C45" s="6"/>
      <c r="D45" s="6"/>
      <c r="E45" s="6"/>
      <c r="F45" s="6"/>
      <c r="G45" s="6"/>
      <c r="H45" s="6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3"/>
      <c r="F48" s="3"/>
      <c r="G48" s="3"/>
      <c r="H48" s="3"/>
      <c r="I48" s="2"/>
      <c r="J48" s="2"/>
    </row>
    <row r="49" spans="1:10" ht="15">
      <c r="A49" s="2"/>
      <c r="B49" s="2"/>
      <c r="C49" s="2"/>
      <c r="D49" s="2"/>
      <c r="E49" s="7"/>
      <c r="F49" s="25"/>
      <c r="G49" s="7"/>
      <c r="H49" s="26"/>
      <c r="I49" s="2"/>
      <c r="J49" s="2"/>
    </row>
    <row r="50" spans="1:10" ht="15">
      <c r="A50" s="2"/>
      <c r="B50" s="2"/>
      <c r="C50" s="2"/>
      <c r="D50" s="2"/>
      <c r="E50" s="3"/>
      <c r="F50" s="3"/>
      <c r="G50" s="3"/>
      <c r="H50" s="3"/>
      <c r="I50" s="2"/>
      <c r="J50" s="2"/>
    </row>
    <row r="51" spans="1:10" ht="15">
      <c r="A51" s="8"/>
      <c r="B51" s="8"/>
      <c r="C51" s="8"/>
      <c r="D51" s="8"/>
      <c r="E51" s="8"/>
      <c r="F51" s="8"/>
      <c r="G51" s="8"/>
      <c r="H51" s="8"/>
      <c r="I51" s="2"/>
      <c r="J51" s="2"/>
    </row>
    <row r="52" spans="1:10" ht="15">
      <c r="A52" s="2"/>
      <c r="B52" s="2"/>
      <c r="C52" s="5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5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5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5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printOptions/>
  <pageMargins left="0.5" right="0.5" top="0.5" bottom="0.5854166666666667" header="0" footer="0"/>
  <pageSetup fitToHeight="1" fitToWidth="1" horizontalDpi="600" verticalDpi="600" orientation="portrait" scale="96" r:id="rId1"/>
  <headerFooter alignWithMargins="0"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OutlineSymbols="0" zoomScale="87" zoomScaleNormal="87" workbookViewId="0" topLeftCell="A24">
      <selection activeCell="I30" sqref="I30"/>
    </sheetView>
  </sheetViews>
  <sheetFormatPr defaultColWidth="8.88671875" defaultRowHeight="15"/>
  <cols>
    <col min="1" max="1" width="4.6640625" style="12" customWidth="1"/>
    <col min="2" max="2" width="9.6640625" style="12" customWidth="1"/>
    <col min="3" max="3" width="12.6640625" style="12" customWidth="1"/>
    <col min="4" max="4" width="7.6640625" style="12" customWidth="1"/>
    <col min="5" max="5" width="5.6640625" style="12" customWidth="1"/>
    <col min="6" max="6" width="8.6640625" style="12" customWidth="1"/>
    <col min="7" max="8" width="5.6640625" style="12" customWidth="1"/>
    <col min="9" max="16384" width="9.6640625" style="12" customWidth="1"/>
  </cols>
  <sheetData>
    <row r="1" spans="1:256" ht="15">
      <c r="A1" s="13" t="s">
        <v>45</v>
      </c>
      <c r="B1" s="14" t="s">
        <v>46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">
      <c r="A2" s="14"/>
      <c r="B2" s="14" t="s">
        <v>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">
      <c r="A3" s="14"/>
      <c r="B3" s="14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5">
      <c r="A4" s="14"/>
      <c r="B4" s="14" t="s">
        <v>49</v>
      </c>
      <c r="C4" s="14"/>
      <c r="D4" s="14" t="s">
        <v>67</v>
      </c>
      <c r="E4" s="14" t="s">
        <v>71</v>
      </c>
      <c r="F4" s="8"/>
      <c r="G4" s="15" t="s">
        <v>79</v>
      </c>
      <c r="H4" s="16">
        <f>IF(AND(AND(OR(ITEM59&lt;=2,ITEM60&lt;=2),ITEM59&lt;&gt;"N"),ITEM60&lt;&gt;"N"),55,0)</f>
        <v>0</v>
      </c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">
      <c r="A5" s="14"/>
      <c r="B5" s="14"/>
      <c r="C5" s="14"/>
      <c r="D5" s="14" t="s">
        <v>68</v>
      </c>
      <c r="E5" s="14" t="s">
        <v>72</v>
      </c>
      <c r="F5" s="8"/>
      <c r="G5" s="15" t="s">
        <v>80</v>
      </c>
      <c r="H5" s="16">
        <f>IF(AND(OR(ITEM59=3,ITEM60=3),H4&lt;&gt;55),40,0)</f>
        <v>0</v>
      </c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">
      <c r="A6" s="14"/>
      <c r="B6" s="14"/>
      <c r="C6" s="14"/>
      <c r="D6" s="14" t="s">
        <v>69</v>
      </c>
      <c r="E6" s="14" t="s">
        <v>73</v>
      </c>
      <c r="F6" s="8"/>
      <c r="G6" s="15" t="s">
        <v>81</v>
      </c>
      <c r="H6" s="16">
        <f>IF(AND(AND(OR(ITEM59=4,ITEM60=4),H4&lt;&gt;55),H5&lt;&gt;40),25,0)</f>
        <v>0</v>
      </c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>
      <c r="A7" s="14"/>
      <c r="B7" s="14"/>
      <c r="C7" s="14"/>
      <c r="D7" s="14" t="s">
        <v>70</v>
      </c>
      <c r="E7" s="14" t="s">
        <v>74</v>
      </c>
      <c r="F7" s="8"/>
      <c r="G7" s="15" t="s">
        <v>82</v>
      </c>
      <c r="H7" s="16">
        <f>IF(AND(AND(AND(OR(ITEM59=5,ITEM60=5),H4&lt;&gt;55),H5&lt;&gt;40),H6&lt;&gt;25),10,0)</f>
        <v>0</v>
      </c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>
      <c r="A8" s="14"/>
      <c r="B8" s="14"/>
      <c r="C8" s="14"/>
      <c r="D8" s="14"/>
      <c r="E8" s="14"/>
      <c r="F8" s="8"/>
      <c r="G8" s="15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>
      <c r="A9" s="14"/>
      <c r="B9" s="14" t="s">
        <v>50</v>
      </c>
      <c r="C9" s="14"/>
      <c r="D9" s="8"/>
      <c r="E9" s="8"/>
      <c r="F9" s="8"/>
      <c r="G9" s="17"/>
      <c r="H9" s="17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>
      <c r="A10" s="14"/>
      <c r="B10" s="14" t="s">
        <v>51</v>
      </c>
      <c r="C10" s="14"/>
      <c r="D10" s="14" t="s">
        <v>67</v>
      </c>
      <c r="E10" s="14" t="s">
        <v>75</v>
      </c>
      <c r="F10" s="8"/>
      <c r="G10" s="15" t="s">
        <v>83</v>
      </c>
      <c r="H10" s="16">
        <f>IF(AND(AND(AND(ITEM59="N",ITEM60="N"),ITEM62&lt;=2),ITEM62&lt;&gt;"N"),55,0)</f>
        <v>0</v>
      </c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>
      <c r="A11" s="14"/>
      <c r="B11" s="14"/>
      <c r="C11" s="14"/>
      <c r="D11" s="14" t="s">
        <v>68</v>
      </c>
      <c r="E11" s="14" t="s">
        <v>76</v>
      </c>
      <c r="F11" s="8"/>
      <c r="G11" s="15" t="s">
        <v>84</v>
      </c>
      <c r="H11" s="16">
        <f>IF(AND(AND(ITEM59="N",ITEM60="N"),ITEM62=3),40,0)</f>
        <v>0</v>
      </c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">
      <c r="A12" s="14"/>
      <c r="B12" s="14"/>
      <c r="C12" s="14"/>
      <c r="D12" s="14" t="s">
        <v>69</v>
      </c>
      <c r="E12" s="14" t="s">
        <v>77</v>
      </c>
      <c r="F12" s="8"/>
      <c r="G12" s="15" t="s">
        <v>85</v>
      </c>
      <c r="H12" s="16">
        <f>IF(AND(AND(ITEM59="N",ITEM60="N"),ITEM62=4),25,0)</f>
        <v>0</v>
      </c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>
      <c r="A13" s="14"/>
      <c r="B13" s="14"/>
      <c r="C13" s="14"/>
      <c r="D13" s="14" t="s">
        <v>70</v>
      </c>
      <c r="E13" s="14" t="s">
        <v>78</v>
      </c>
      <c r="F13" s="8"/>
      <c r="G13" s="15" t="s">
        <v>86</v>
      </c>
      <c r="H13" s="16">
        <f>IF(AND(AND(AND(ITEM59="N",ITEM60="N"),SUM(H10:H12)=0),ITEM62=5),10,0)</f>
        <v>0</v>
      </c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>
      <c r="A14" s="14"/>
      <c r="B14" s="14"/>
      <c r="C14" s="14"/>
      <c r="D14" s="14"/>
      <c r="E14" s="14"/>
      <c r="F14" s="14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>
      <c r="A15" s="14"/>
      <c r="B15" s="14" t="s">
        <v>52</v>
      </c>
      <c r="C15" s="14"/>
      <c r="D15" s="14"/>
      <c r="E15" s="14"/>
      <c r="F15" s="13"/>
      <c r="G15" s="17"/>
      <c r="H15" s="16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14"/>
      <c r="B16" s="14" t="s">
        <v>53</v>
      </c>
      <c r="C16" s="14"/>
      <c r="D16" s="14"/>
      <c r="E16" s="14"/>
      <c r="F16" s="13"/>
      <c r="G16" s="17"/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4" t="s">
        <v>54</v>
      </c>
      <c r="C17" s="14"/>
      <c r="D17" s="14"/>
      <c r="E17" s="14"/>
      <c r="F17" s="14"/>
      <c r="G17" s="15" t="s">
        <v>87</v>
      </c>
      <c r="H17" s="16">
        <f>IF(LEFT(ITEM66,1)="1",VALUE(RIGHT(ITEM66,2))*1.56,0)</f>
        <v>0</v>
      </c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14"/>
      <c r="B18" s="14" t="s">
        <v>55</v>
      </c>
      <c r="C18" s="14"/>
      <c r="D18" s="14"/>
      <c r="E18" s="14"/>
      <c r="F18" s="14"/>
      <c r="G18" s="15" t="s">
        <v>87</v>
      </c>
      <c r="H18" s="16">
        <f>IF(LEFT(ITEM66,1)="2",VALUE(RIGHT(ITEM66,2))*1,0)</f>
        <v>17</v>
      </c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14"/>
      <c r="B19" s="14" t="s">
        <v>56</v>
      </c>
      <c r="C19" s="14"/>
      <c r="D19" s="14"/>
      <c r="E19" s="14"/>
      <c r="F19" s="14"/>
      <c r="G19" s="15" t="s">
        <v>87</v>
      </c>
      <c r="H19" s="16">
        <f>IF(LEFT(ITEM66,1)="3",VALUE(RIGHT(ITEM66,2))*1.56,0)</f>
        <v>0</v>
      </c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14"/>
      <c r="B20" s="14" t="s">
        <v>57</v>
      </c>
      <c r="C20" s="14"/>
      <c r="D20" s="14"/>
      <c r="E20" s="14"/>
      <c r="F20" s="14"/>
      <c r="G20" s="15" t="s">
        <v>87</v>
      </c>
      <c r="H20" s="16">
        <f>IF(LEFT(ITEM66,1)="4",VALUE(RIGHT(ITEM66,2))*1.01,0)</f>
        <v>0</v>
      </c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4" t="s">
        <v>58</v>
      </c>
      <c r="C21" s="14"/>
      <c r="D21" s="14"/>
      <c r="E21" s="14"/>
      <c r="F21" s="14"/>
      <c r="G21" s="15" t="s">
        <v>87</v>
      </c>
      <c r="H21" s="16">
        <f>IF(LEFT(ITEM66,1)="5",VALUE(RIGHT(ITEM66,2))*0.77,0)</f>
        <v>0</v>
      </c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>
      <c r="A22" s="14"/>
      <c r="B22" s="14" t="s">
        <v>59</v>
      </c>
      <c r="C22" s="14"/>
      <c r="D22" s="14"/>
      <c r="E22" s="14"/>
      <c r="F22" s="14"/>
      <c r="G22" s="15" t="s">
        <v>87</v>
      </c>
      <c r="H22" s="16">
        <f>IF(LEFT(ITEM66,1)="6",VALUE(RIGHT(ITEM66,2))*0.67,0)</f>
        <v>0</v>
      </c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>
      <c r="A23" s="14"/>
      <c r="B23" s="14" t="s">
        <v>60</v>
      </c>
      <c r="C23" s="14"/>
      <c r="D23" s="14"/>
      <c r="E23" s="14"/>
      <c r="F23" s="14"/>
      <c r="G23" s="15" t="s">
        <v>87</v>
      </c>
      <c r="H23" s="16">
        <f>IF(LEFT(ITEM66,1)="9",VALUE(RIGHT(ITEM66,2))*1,0)</f>
        <v>0</v>
      </c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>
      <c r="A24" s="14"/>
      <c r="B24" s="14"/>
      <c r="C24" s="14"/>
      <c r="D24" s="14"/>
      <c r="E24" s="14"/>
      <c r="F24" s="14"/>
      <c r="G24" s="15" t="s">
        <v>88</v>
      </c>
      <c r="H24" s="18">
        <f>SUM(H17:H23)</f>
        <v>17</v>
      </c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4" t="s">
        <v>61</v>
      </c>
      <c r="C25" s="14"/>
      <c r="D25" s="14"/>
      <c r="E25" s="14"/>
      <c r="F25" s="14"/>
      <c r="G25" s="16"/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5">
      <c r="A26" s="14"/>
      <c r="B26" s="14" t="s">
        <v>62</v>
      </c>
      <c r="C26" s="14"/>
      <c r="D26" s="14"/>
      <c r="E26" s="14"/>
      <c r="F26" s="14"/>
      <c r="G26" s="17"/>
      <c r="H26" s="15" t="s">
        <v>89</v>
      </c>
      <c r="I26" s="16">
        <f>IF((36-AIT)&lt;0,0,(36-AIT)^1.5*0.2778)</f>
        <v>23.007140403796374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">
      <c r="A27" s="14"/>
      <c r="B27" s="14" t="s">
        <v>63</v>
      </c>
      <c r="C27" s="14"/>
      <c r="D27" s="14"/>
      <c r="E27" s="14"/>
      <c r="F27" s="14"/>
      <c r="G27" s="16"/>
      <c r="H27" s="16"/>
      <c r="I27" s="15" t="str">
        <f>IF(36-AIT&lt;0,0,"Ok")</f>
        <v>Ok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">
      <c r="A28" s="14"/>
      <c r="B28" s="14" t="s">
        <v>64</v>
      </c>
      <c r="C28" s="14"/>
      <c r="D28" s="14"/>
      <c r="E28" s="14"/>
      <c r="F28" s="14"/>
      <c r="G28" s="16"/>
      <c r="H28" s="16"/>
      <c r="I28" s="15" t="str">
        <f>IF(OR(I&lt;0,I&gt;55),"Error","Ok")</f>
        <v>Ok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4"/>
      <c r="C29" s="14"/>
      <c r="D29" s="14"/>
      <c r="E29" s="14"/>
      <c r="F29" s="14"/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5">
      <c r="A30" s="14"/>
      <c r="B30" s="14" t="s">
        <v>65</v>
      </c>
      <c r="C30" s="14"/>
      <c r="D30" s="14"/>
      <c r="E30" s="14"/>
      <c r="F30" s="14"/>
      <c r="G30" s="17"/>
      <c r="H30" s="15" t="s">
        <v>90</v>
      </c>
      <c r="I30" s="16">
        <f>IF(55-(SUM(H4:H13)+I)&lt;0,0,55-(SUM(H4:H13)+I))</f>
        <v>31.992859596203626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5">
      <c r="A31" s="14"/>
      <c r="B31" s="14" t="s">
        <v>66</v>
      </c>
      <c r="C31" s="14"/>
      <c r="D31" s="14"/>
      <c r="E31" s="14"/>
      <c r="F31" s="14"/>
      <c r="G31" s="16"/>
      <c r="H31" s="16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8"/>
      <c r="B33" s="8"/>
      <c r="C33" s="8"/>
      <c r="D33" s="8"/>
      <c r="E33" s="8"/>
      <c r="F33" s="8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>
      <c r="A34" s="8"/>
      <c r="B34" s="8"/>
      <c r="C34" s="8"/>
      <c r="D34" s="8"/>
      <c r="E34" s="8"/>
      <c r="F34" s="8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>
      <c r="A35" s="8"/>
      <c r="B35" s="8"/>
      <c r="C35" s="8"/>
      <c r="D35" s="8"/>
      <c r="E35" s="8"/>
      <c r="F35" s="8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5">
      <c r="A36" s="8"/>
      <c r="B36" s="8"/>
      <c r="C36" s="8"/>
      <c r="D36" s="8"/>
      <c r="E36" s="8"/>
      <c r="F36" s="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8"/>
      <c r="B37" s="8"/>
      <c r="C37" s="8"/>
      <c r="D37" s="8"/>
      <c r="E37" s="8"/>
      <c r="F37" s="8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5">
      <c r="A38" s="8"/>
      <c r="B38" s="8"/>
      <c r="C38" s="8"/>
      <c r="D38" s="8"/>
      <c r="E38" s="8"/>
      <c r="F38" s="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</sheetData>
  <printOptions/>
  <pageMargins left="0.5" right="0.5" top="0.5" bottom="0.5854166666666667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5"/>
  <sheetViews>
    <sheetView showGridLines="0" showOutlineSymbols="0" zoomScale="87" zoomScaleNormal="87" workbookViewId="0" topLeftCell="A30">
      <selection activeCell="B27" sqref="B27"/>
    </sheetView>
  </sheetViews>
  <sheetFormatPr defaultColWidth="8.88671875" defaultRowHeight="15"/>
  <cols>
    <col min="1" max="1" width="3.6640625" style="19" customWidth="1"/>
    <col min="2" max="4" width="9.6640625" style="19" customWidth="1"/>
    <col min="5" max="5" width="7.6640625" style="19" customWidth="1"/>
    <col min="6" max="6" width="5.6640625" style="19" customWidth="1"/>
    <col min="7" max="7" width="4.6640625" style="19" customWidth="1"/>
    <col min="8" max="8" width="6.10546875" style="19" customWidth="1"/>
    <col min="9" max="9" width="9.6640625" style="19" customWidth="1"/>
    <col min="10" max="10" width="5.6640625" style="19" customWidth="1"/>
    <col min="11" max="16384" width="9.6640625" style="19" customWidth="1"/>
  </cols>
  <sheetData>
    <row r="1" spans="1:256" ht="12.75">
      <c r="A1" s="14">
        <v>2</v>
      </c>
      <c r="B1" s="14" t="s">
        <v>91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2.75">
      <c r="A2" s="14"/>
      <c r="B2" s="14" t="s">
        <v>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2.75">
      <c r="A3" s="14"/>
      <c r="B3" s="14" t="s">
        <v>93</v>
      </c>
      <c r="C3" s="14"/>
      <c r="D3" s="14"/>
      <c r="E3" s="14" t="s">
        <v>155</v>
      </c>
      <c r="F3" s="14" t="s">
        <v>159</v>
      </c>
      <c r="G3" s="16">
        <f>IF(ITEM58="0",5,IF(AND(ITEM58&lt;=3,ITEM58&lt;&gt;"N"),5,0))</f>
        <v>0</v>
      </c>
      <c r="H3" s="16"/>
      <c r="I3" s="20"/>
      <c r="J3" s="1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2.75">
      <c r="A4" s="14"/>
      <c r="B4" s="14"/>
      <c r="C4" s="14"/>
      <c r="D4" s="14"/>
      <c r="E4" s="14" t="s">
        <v>69</v>
      </c>
      <c r="F4" s="14" t="s">
        <v>160</v>
      </c>
      <c r="G4" s="16">
        <f>IF(ITEM58=4,3,0)</f>
        <v>0</v>
      </c>
      <c r="H4" s="16"/>
      <c r="I4" s="16"/>
      <c r="J4" s="16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2.75">
      <c r="A5" s="14"/>
      <c r="B5" s="14"/>
      <c r="C5" s="14"/>
      <c r="D5" s="14"/>
      <c r="E5" s="14" t="s">
        <v>70</v>
      </c>
      <c r="F5" s="14" t="s">
        <v>161</v>
      </c>
      <c r="G5" s="16">
        <f>IF(ITEM58=5,1,0)</f>
        <v>1</v>
      </c>
      <c r="H5" s="16"/>
      <c r="I5" s="16"/>
      <c r="J5" s="1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2.75">
      <c r="A6" s="14"/>
      <c r="B6" s="14"/>
      <c r="C6" s="14"/>
      <c r="D6" s="14"/>
      <c r="E6" s="14"/>
      <c r="F6" s="14"/>
      <c r="G6" s="16"/>
      <c r="H6" s="16"/>
      <c r="I6" s="15" t="s">
        <v>184</v>
      </c>
      <c r="J6" s="20">
        <f>SUM(G3:G5)</f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2.75">
      <c r="A7" s="14"/>
      <c r="B7" s="14" t="s">
        <v>94</v>
      </c>
      <c r="C7" s="14"/>
      <c r="D7" s="14"/>
      <c r="E7" s="14" t="s">
        <v>155</v>
      </c>
      <c r="F7" s="14" t="s">
        <v>162</v>
      </c>
      <c r="G7" s="16">
        <f>IF(ITEM67="0",4,IF(AND(ITEM67&lt;=3,ITEM67&lt;&gt;"N"),4,0))</f>
        <v>0</v>
      </c>
      <c r="H7" s="16"/>
      <c r="I7" s="15"/>
      <c r="J7" s="2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2.75">
      <c r="A8" s="14"/>
      <c r="B8" s="14"/>
      <c r="C8" s="14"/>
      <c r="D8" s="14"/>
      <c r="E8" s="14" t="s">
        <v>69</v>
      </c>
      <c r="F8" s="14" t="s">
        <v>163</v>
      </c>
      <c r="G8" s="16">
        <f>IF(ITEM67=4,2,0)</f>
        <v>2</v>
      </c>
      <c r="H8" s="16"/>
      <c r="I8" s="15"/>
      <c r="J8" s="2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.75">
      <c r="A9" s="14"/>
      <c r="B9" s="14"/>
      <c r="C9" s="14"/>
      <c r="D9" s="14"/>
      <c r="E9" s="14" t="s">
        <v>70</v>
      </c>
      <c r="F9" s="14" t="s">
        <v>164</v>
      </c>
      <c r="G9" s="16">
        <f>IF(ITEM67=5,1,0)</f>
        <v>0</v>
      </c>
      <c r="H9" s="16"/>
      <c r="I9" s="15"/>
      <c r="J9" s="2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2.75">
      <c r="A10" s="14"/>
      <c r="B10" s="14"/>
      <c r="C10" s="14"/>
      <c r="D10" s="14"/>
      <c r="E10" s="14"/>
      <c r="F10" s="14"/>
      <c r="G10" s="16"/>
      <c r="H10" s="16"/>
      <c r="I10" s="15" t="s">
        <v>185</v>
      </c>
      <c r="J10" s="20">
        <f>SUM(G7:G9)</f>
        <v>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.75">
      <c r="A11" s="14"/>
      <c r="B11" s="14" t="s">
        <v>95</v>
      </c>
      <c r="C11" s="14"/>
      <c r="D11" s="14"/>
      <c r="E11" s="14" t="s">
        <v>155</v>
      </c>
      <c r="F11" s="14" t="s">
        <v>165</v>
      </c>
      <c r="G11" s="16">
        <f>IF(ITEM68="0",4,IF(AND(ITEM68&lt;=3,ITEM68&lt;&gt;"N"),4,0))</f>
        <v>0</v>
      </c>
      <c r="H11" s="16"/>
      <c r="I11" s="15"/>
      <c r="J11" s="2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14"/>
      <c r="B12" s="14"/>
      <c r="C12" s="14"/>
      <c r="D12" s="14"/>
      <c r="E12" s="14" t="s">
        <v>69</v>
      </c>
      <c r="F12" s="14" t="s">
        <v>166</v>
      </c>
      <c r="G12" s="16">
        <f>IF(ITEM68=4,2,0)</f>
        <v>0</v>
      </c>
      <c r="H12" s="16"/>
      <c r="I12" s="15"/>
      <c r="J12" s="2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2.75">
      <c r="A13" s="14"/>
      <c r="B13" s="14"/>
      <c r="C13" s="14"/>
      <c r="D13" s="14"/>
      <c r="E13" s="14" t="s">
        <v>70</v>
      </c>
      <c r="F13" s="14" t="s">
        <v>167</v>
      </c>
      <c r="G13" s="16">
        <f>IF(ITEM68=5,1,0)</f>
        <v>0</v>
      </c>
      <c r="H13" s="16"/>
      <c r="I13" s="15"/>
      <c r="J13" s="2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4"/>
      <c r="B14" s="14"/>
      <c r="C14" s="14"/>
      <c r="D14" s="14"/>
      <c r="E14" s="14"/>
      <c r="F14" s="14"/>
      <c r="G14" s="16"/>
      <c r="H14" s="16"/>
      <c r="I14" s="15" t="s">
        <v>186</v>
      </c>
      <c r="J14" s="20">
        <f>SUM(G11:G13)</f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.75">
      <c r="A15" s="14"/>
      <c r="B15" s="14" t="s">
        <v>96</v>
      </c>
      <c r="C15" s="14"/>
      <c r="D15" s="14"/>
      <c r="E15" s="14" t="s">
        <v>155</v>
      </c>
      <c r="F15" s="14" t="s">
        <v>168</v>
      </c>
      <c r="G15" s="16">
        <f>IF(ITEM69="0",4,IF(AND(ITEM69&lt;=3,ITEM69&lt;&gt;"N"),4,0))</f>
        <v>0</v>
      </c>
      <c r="H15" s="16"/>
      <c r="I15" s="15"/>
      <c r="J15" s="20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.75">
      <c r="A16" s="14"/>
      <c r="B16" s="14"/>
      <c r="C16" s="14"/>
      <c r="D16" s="14"/>
      <c r="E16" s="14" t="s">
        <v>69</v>
      </c>
      <c r="F16" s="14" t="s">
        <v>169</v>
      </c>
      <c r="G16" s="16">
        <f>IF(ITEM69=4,2,0)</f>
        <v>0</v>
      </c>
      <c r="H16" s="16"/>
      <c r="I16" s="15"/>
      <c r="J16" s="2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.75">
      <c r="A17" s="14"/>
      <c r="B17" s="14"/>
      <c r="C17" s="14"/>
      <c r="D17" s="14"/>
      <c r="E17" s="14" t="s">
        <v>70</v>
      </c>
      <c r="F17" s="14" t="s">
        <v>170</v>
      </c>
      <c r="G17" s="16">
        <f>IF(ITEM69=5,1,0)</f>
        <v>0</v>
      </c>
      <c r="H17" s="16"/>
      <c r="I17" s="15"/>
      <c r="J17" s="2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.75">
      <c r="A18" s="14"/>
      <c r="B18" s="14"/>
      <c r="C18" s="14"/>
      <c r="D18" s="14"/>
      <c r="E18" s="14"/>
      <c r="F18" s="14"/>
      <c r="G18" s="16"/>
      <c r="H18" s="16"/>
      <c r="I18" s="15" t="s">
        <v>187</v>
      </c>
      <c r="J18" s="20">
        <f>SUM(G15:G17)</f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.75">
      <c r="A19" s="14"/>
      <c r="B19" s="14" t="s">
        <v>97</v>
      </c>
      <c r="C19" s="14"/>
      <c r="D19" s="14"/>
      <c r="E19" s="14" t="s">
        <v>155</v>
      </c>
      <c r="F19" s="14" t="s">
        <v>171</v>
      </c>
      <c r="G19" s="16">
        <f>IF(ITEM71="0",4,IF(AND(ITEM71&lt;=3,ITEM71&lt;&gt;"N"),4,0))</f>
        <v>0</v>
      </c>
      <c r="H19" s="16"/>
      <c r="I19" s="15"/>
      <c r="J19" s="2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.75">
      <c r="A20" s="14"/>
      <c r="B20" s="14"/>
      <c r="C20" s="14"/>
      <c r="D20" s="14"/>
      <c r="E20" s="14" t="s">
        <v>69</v>
      </c>
      <c r="F20" s="14" t="s">
        <v>172</v>
      </c>
      <c r="G20" s="16">
        <f>IF(ITEM71=4,2,0)</f>
        <v>0</v>
      </c>
      <c r="H20" s="16"/>
      <c r="I20" s="15"/>
      <c r="J20" s="2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.75">
      <c r="A21" s="14"/>
      <c r="B21" s="14"/>
      <c r="C21" s="14"/>
      <c r="D21" s="14"/>
      <c r="E21" s="14" t="s">
        <v>70</v>
      </c>
      <c r="F21" s="14" t="s">
        <v>173</v>
      </c>
      <c r="G21" s="16">
        <f>IF(ITEM71=5,1,0)</f>
        <v>1</v>
      </c>
      <c r="H21" s="16"/>
      <c r="I21" s="15"/>
      <c r="J21" s="2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.75">
      <c r="A22" s="14"/>
      <c r="B22" s="14"/>
      <c r="C22" s="14"/>
      <c r="D22" s="14"/>
      <c r="E22" s="14"/>
      <c r="F22" s="14"/>
      <c r="G22" s="16"/>
      <c r="H22" s="16"/>
      <c r="I22" s="15" t="s">
        <v>83</v>
      </c>
      <c r="J22" s="20">
        <f>SUM(G19:G21)</f>
        <v>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.75">
      <c r="A23" s="14"/>
      <c r="B23" s="14" t="s">
        <v>98</v>
      </c>
      <c r="C23" s="14"/>
      <c r="D23" s="14"/>
      <c r="E23" s="14" t="s">
        <v>155</v>
      </c>
      <c r="F23" s="14" t="s">
        <v>174</v>
      </c>
      <c r="G23" s="16">
        <f>IF(ITEM72="0",4,IF(AND(ITEM72&lt;=3,ITEM72&lt;&gt;"N"),4,0))</f>
        <v>0</v>
      </c>
      <c r="H23" s="16"/>
      <c r="I23" s="15"/>
      <c r="J23" s="2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2.75">
      <c r="A24" s="14"/>
      <c r="B24" s="14"/>
      <c r="C24" s="14"/>
      <c r="D24" s="14"/>
      <c r="E24" s="14" t="s">
        <v>69</v>
      </c>
      <c r="F24" s="14" t="s">
        <v>175</v>
      </c>
      <c r="G24" s="16">
        <f>IF(ITEM72=4,2,0)</f>
        <v>2</v>
      </c>
      <c r="H24" s="16"/>
      <c r="I24" s="15"/>
      <c r="J24" s="2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.75">
      <c r="A25" s="14"/>
      <c r="B25" s="14"/>
      <c r="C25" s="14"/>
      <c r="D25" s="14"/>
      <c r="E25" s="14" t="s">
        <v>70</v>
      </c>
      <c r="F25" s="14" t="s">
        <v>176</v>
      </c>
      <c r="G25" s="16">
        <f>IF(ITEM72=5,1,0)</f>
        <v>0</v>
      </c>
      <c r="H25" s="16"/>
      <c r="I25" s="15"/>
      <c r="J25" s="2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2.75">
      <c r="A26" s="14"/>
      <c r="B26" s="14"/>
      <c r="C26" s="14"/>
      <c r="D26" s="14"/>
      <c r="E26" s="14"/>
      <c r="F26" s="14"/>
      <c r="G26" s="16"/>
      <c r="H26" s="16"/>
      <c r="I26" s="15" t="s">
        <v>84</v>
      </c>
      <c r="J26" s="20">
        <f>SUM(G23:G25)</f>
        <v>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2.75">
      <c r="A27" s="14"/>
      <c r="B27" s="14"/>
      <c r="C27" s="14"/>
      <c r="D27" s="14"/>
      <c r="E27" s="14"/>
      <c r="F27" s="14"/>
      <c r="G27" s="16"/>
      <c r="H27" s="16"/>
      <c r="I27" s="15"/>
      <c r="J27" s="2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2.75">
      <c r="A28" s="14"/>
      <c r="B28" s="14" t="s">
        <v>99</v>
      </c>
      <c r="C28" s="14"/>
      <c r="D28" s="14"/>
      <c r="E28" s="14"/>
      <c r="F28" s="14"/>
      <c r="G28" s="16"/>
      <c r="H28" s="16"/>
      <c r="I28" s="15" t="s">
        <v>188</v>
      </c>
      <c r="J28" s="20">
        <f>SUM(J6:J26)</f>
        <v>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2.75">
      <c r="A29" s="14"/>
      <c r="B29" s="14" t="s">
        <v>100</v>
      </c>
      <c r="C29" s="14"/>
      <c r="D29" s="14"/>
      <c r="E29" s="14"/>
      <c r="F29" s="14"/>
      <c r="G29" s="16"/>
      <c r="H29" s="15"/>
      <c r="I29" s="15" t="s">
        <v>189</v>
      </c>
      <c r="J29" s="20">
        <f>IF(J28&lt;0,0,IF(J28&gt;13,13,J28))</f>
        <v>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.75">
      <c r="A30" s="14"/>
      <c r="B30" s="14"/>
      <c r="C30" s="14"/>
      <c r="D30" s="14"/>
      <c r="E30" s="14"/>
      <c r="F30" s="14"/>
      <c r="G30" s="16"/>
      <c r="H30" s="16"/>
      <c r="I30" s="16"/>
      <c r="J30" s="16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2.75">
      <c r="A31" s="14"/>
      <c r="B31" s="14" t="s">
        <v>101</v>
      </c>
      <c r="C31" s="14"/>
      <c r="D31" s="14"/>
      <c r="E31" s="14"/>
      <c r="F31" s="14"/>
      <c r="G31" s="16"/>
      <c r="H31" s="16"/>
      <c r="I31" s="16"/>
      <c r="J31" s="1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2.75">
      <c r="A32" s="14"/>
      <c r="B32" s="14" t="s">
        <v>102</v>
      </c>
      <c r="C32" s="14"/>
      <c r="D32" s="14"/>
      <c r="E32" s="14"/>
      <c r="F32" s="14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2.75">
      <c r="A33" s="14"/>
      <c r="B33" s="14"/>
      <c r="C33" s="14" t="s">
        <v>127</v>
      </c>
      <c r="D33" s="14"/>
      <c r="E33" s="14"/>
      <c r="F33" s="14"/>
      <c r="G33" s="16"/>
      <c r="H33" s="16"/>
      <c r="I33" s="20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2.75">
      <c r="A34" s="14"/>
      <c r="B34" s="14"/>
      <c r="C34" s="14" t="s">
        <v>128</v>
      </c>
      <c r="D34" s="14"/>
      <c r="E34" s="14"/>
      <c r="F34" s="14"/>
      <c r="G34" s="16"/>
      <c r="H34" s="16"/>
      <c r="I34" s="16"/>
      <c r="J34" s="1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2.75">
      <c r="A35" s="14"/>
      <c r="B35" s="14"/>
      <c r="C35" s="14" t="s">
        <v>129</v>
      </c>
      <c r="D35" s="14"/>
      <c r="E35" s="14"/>
      <c r="F35" s="14"/>
      <c r="G35" s="16"/>
      <c r="H35" s="16"/>
      <c r="I35" s="16"/>
      <c r="J35" s="1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2.75">
      <c r="A36" s="14"/>
      <c r="B36" s="14"/>
      <c r="C36" s="14" t="s">
        <v>130</v>
      </c>
      <c r="D36" s="14"/>
      <c r="E36" s="14"/>
      <c r="F36" s="14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2.75">
      <c r="A37" s="14"/>
      <c r="B37" s="14" t="s">
        <v>103</v>
      </c>
      <c r="C37" s="14"/>
      <c r="D37" s="14"/>
      <c r="E37" s="14"/>
      <c r="F37" s="14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2.75">
      <c r="A38" s="14"/>
      <c r="B38" s="14" t="s">
        <v>104</v>
      </c>
      <c r="C38" s="14"/>
      <c r="D38" s="14" t="s">
        <v>148</v>
      </c>
      <c r="E38" s="14"/>
      <c r="F38" s="14"/>
      <c r="G38" s="16"/>
      <c r="H38" s="16"/>
      <c r="I38" s="15" t="s">
        <v>190</v>
      </c>
      <c r="J38" s="20">
        <f>(ITEM29/ITEM28)</f>
        <v>90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2.75">
      <c r="A39" s="14"/>
      <c r="B39" s="14" t="s">
        <v>105</v>
      </c>
      <c r="C39" s="14"/>
      <c r="D39" s="14" t="s">
        <v>149</v>
      </c>
      <c r="E39" s="14"/>
      <c r="F39" s="14"/>
      <c r="G39" s="16"/>
      <c r="H39" s="16"/>
      <c r="I39" s="15" t="s">
        <v>191</v>
      </c>
      <c r="J39" s="20">
        <f>(ITEM51/ITEM28)</f>
        <v>15.9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2.75">
      <c r="A40" s="14"/>
      <c r="B40" s="14"/>
      <c r="C40" s="14"/>
      <c r="D40" s="14"/>
      <c r="E40" s="14"/>
      <c r="F40" s="14"/>
      <c r="G40" s="16"/>
      <c r="H40" s="16"/>
      <c r="I40" s="16"/>
      <c r="J40" s="2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2.75">
      <c r="A41" s="14"/>
      <c r="B41" s="14" t="s">
        <v>106</v>
      </c>
      <c r="C41" s="14"/>
      <c r="D41" s="14"/>
      <c r="E41" s="14"/>
      <c r="F41" s="14"/>
      <c r="G41" s="16"/>
      <c r="H41" s="16"/>
      <c r="I41" s="16"/>
      <c r="J41" s="2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2.75">
      <c r="A42" s="14"/>
      <c r="B42" s="14" t="s">
        <v>107</v>
      </c>
      <c r="C42" s="14"/>
      <c r="D42" s="14"/>
      <c r="E42" s="14"/>
      <c r="F42" s="14"/>
      <c r="G42" s="16"/>
      <c r="H42" s="16"/>
      <c r="I42" s="15" t="s">
        <v>85</v>
      </c>
      <c r="J42" s="20">
        <f>IF(AND(VALUE(RIGHT(ITEM43,2))&lt;&gt;19,(ITEM51+2)&lt;ITEM32),5,0)</f>
        <v>5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2.75">
      <c r="A43" s="14"/>
      <c r="B43" s="14"/>
      <c r="C43" s="14"/>
      <c r="D43" s="14"/>
      <c r="E43" s="14"/>
      <c r="F43" s="14"/>
      <c r="G43" s="16"/>
      <c r="H43" s="16"/>
      <c r="I43" s="16"/>
      <c r="J43" s="1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2.75">
      <c r="A44" s="14"/>
      <c r="B44" s="14" t="s">
        <v>108</v>
      </c>
      <c r="C44" s="14"/>
      <c r="D44" s="14"/>
      <c r="E44" s="14"/>
      <c r="F44" s="14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2.75">
      <c r="A45" s="14"/>
      <c r="B45" s="14" t="s">
        <v>109</v>
      </c>
      <c r="C45" s="14"/>
      <c r="D45" s="14"/>
      <c r="E45" s="14"/>
      <c r="F45" s="14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2.75">
      <c r="A46" s="14"/>
      <c r="B46" s="14"/>
      <c r="C46" s="14" t="s">
        <v>131</v>
      </c>
      <c r="D46" s="14" t="s">
        <v>150</v>
      </c>
      <c r="E46" s="14" t="s">
        <v>156</v>
      </c>
      <c r="F46" s="14"/>
      <c r="G46" s="16"/>
      <c r="H46" s="16">
        <f>IF(AND(ITEM28=1,Y&lt;14),15,0)</f>
        <v>0</v>
      </c>
      <c r="I46" s="16"/>
      <c r="J46" s="16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2.75">
      <c r="A47" s="14"/>
      <c r="B47" s="14"/>
      <c r="C47" s="14" t="s">
        <v>132</v>
      </c>
      <c r="D47" s="14"/>
      <c r="E47" s="14" t="s">
        <v>157</v>
      </c>
      <c r="F47" s="14"/>
      <c r="G47" s="16"/>
      <c r="H47" s="16">
        <f>IF(AND(AND(ITEM28=1,Y&gt;=14),Y&lt;18),15*(18-Y)/4,0)</f>
        <v>7.874999999999998</v>
      </c>
      <c r="I47" s="16"/>
      <c r="J47" s="16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2.75">
      <c r="A48" s="14"/>
      <c r="B48" s="14"/>
      <c r="C48" s="14" t="s">
        <v>133</v>
      </c>
      <c r="D48" s="14"/>
      <c r="E48" s="14" t="s">
        <v>158</v>
      </c>
      <c r="F48" s="14"/>
      <c r="G48" s="16"/>
      <c r="H48" s="16">
        <f>IF(AND(ITEM28=1,Y&gt;18),0,0)</f>
        <v>0</v>
      </c>
      <c r="I48" s="15" t="s">
        <v>86</v>
      </c>
      <c r="J48" s="20">
        <f>SUM(H46:H48)</f>
        <v>7.874999999999998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2.75">
      <c r="A49" s="14"/>
      <c r="B49" s="14"/>
      <c r="C49" s="14"/>
      <c r="D49" s="14"/>
      <c r="E49" s="14"/>
      <c r="F49" s="14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2.75">
      <c r="A50" s="14"/>
      <c r="B50" s="14" t="s">
        <v>110</v>
      </c>
      <c r="C50" s="14"/>
      <c r="D50" s="14"/>
      <c r="E50" s="14"/>
      <c r="F50" s="14"/>
      <c r="G50" s="16"/>
      <c r="H50" s="16"/>
      <c r="I50" s="16"/>
      <c r="J50" s="1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2.75">
      <c r="A51" s="14"/>
      <c r="B51" s="14" t="s">
        <v>111</v>
      </c>
      <c r="C51" s="14"/>
      <c r="D51" s="14"/>
      <c r="E51" s="14"/>
      <c r="F51" s="14"/>
      <c r="G51" s="16"/>
      <c r="H51" s="16"/>
      <c r="I51" s="16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2.75">
      <c r="A52" s="14"/>
      <c r="B52" s="14" t="s">
        <v>112</v>
      </c>
      <c r="C52" s="14"/>
      <c r="D52" s="14"/>
      <c r="E52" s="14"/>
      <c r="F52" s="14" t="s">
        <v>158</v>
      </c>
      <c r="G52" s="16"/>
      <c r="H52" s="15">
        <f>IF(AND(ITEM28=2,Y&gt;=16),1,0)</f>
        <v>0</v>
      </c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2.75">
      <c r="A53" s="14"/>
      <c r="B53" s="14" t="s">
        <v>113</v>
      </c>
      <c r="C53" s="14"/>
      <c r="D53" s="14"/>
      <c r="E53" s="14"/>
      <c r="F53" s="14" t="s">
        <v>158</v>
      </c>
      <c r="G53" s="16"/>
      <c r="H53" s="15">
        <f>IF(AND(ITEM28=3,Y&gt;=15),1,0)</f>
        <v>0</v>
      </c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2.75">
      <c r="A54" s="14"/>
      <c r="B54" s="14" t="s">
        <v>114</v>
      </c>
      <c r="C54" s="14"/>
      <c r="D54" s="14"/>
      <c r="E54" s="14"/>
      <c r="F54" s="14" t="s">
        <v>158</v>
      </c>
      <c r="G54" s="16"/>
      <c r="H54" s="15">
        <f>IF(AND(ITEM28=4,Y&gt;=14),1,0)</f>
        <v>0</v>
      </c>
      <c r="I54" s="16"/>
      <c r="J54" s="16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2.75">
      <c r="A55" s="14"/>
      <c r="B55" s="14" t="s">
        <v>115</v>
      </c>
      <c r="C55" s="14"/>
      <c r="D55" s="14"/>
      <c r="E55" s="14"/>
      <c r="F55" s="14" t="s">
        <v>158</v>
      </c>
      <c r="G55" s="16"/>
      <c r="H55" s="15">
        <f>IF(AND(ITEM28&gt;=5,Y&gt;=12),1,0)</f>
        <v>0</v>
      </c>
      <c r="I55" s="15" t="s">
        <v>86</v>
      </c>
      <c r="J55" s="20">
        <f>SUM(H52:H55)</f>
        <v>0</v>
      </c>
      <c r="K55" s="14" t="s">
        <v>195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2.75">
      <c r="A56" s="14"/>
      <c r="B56" s="14"/>
      <c r="C56" s="14"/>
      <c r="D56" s="14"/>
      <c r="E56" s="14"/>
      <c r="F56" s="14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2.75">
      <c r="A57" s="14"/>
      <c r="B57" s="14" t="s">
        <v>116</v>
      </c>
      <c r="C57" s="14"/>
      <c r="D57" s="14"/>
      <c r="E57" s="14"/>
      <c r="F57" s="14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2.75">
      <c r="A58" s="14"/>
      <c r="B58" s="14"/>
      <c r="C58" s="14" t="s">
        <v>134</v>
      </c>
      <c r="D58" s="14"/>
      <c r="E58" s="14"/>
      <c r="F58" s="14" t="s">
        <v>156</v>
      </c>
      <c r="G58" s="16"/>
      <c r="H58" s="16">
        <f>IF(AND(AND(AND(ITEM28&lt;&gt;1,J$55&lt;&gt;1),Y&lt;9),X&gt;50),15,0)</f>
        <v>0</v>
      </c>
      <c r="I58" s="16"/>
      <c r="J58" s="16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2.75">
      <c r="A59" s="14"/>
      <c r="B59" s="14"/>
      <c r="C59" s="14" t="s">
        <v>135</v>
      </c>
      <c r="D59" s="14"/>
      <c r="E59" s="14"/>
      <c r="F59" s="14" t="s">
        <v>177</v>
      </c>
      <c r="G59" s="16"/>
      <c r="H59" s="16">
        <f>IF(AND(AND(AND(ITEM28&lt;&gt;1,J$55&lt;&gt;1),Y&lt;9),X&lt;=50),7.5,0)</f>
        <v>0</v>
      </c>
      <c r="I59" s="16"/>
      <c r="J59" s="1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2.75">
      <c r="A60" s="14"/>
      <c r="B60" s="14"/>
      <c r="C60" s="14" t="s">
        <v>136</v>
      </c>
      <c r="D60" s="14"/>
      <c r="E60" s="14"/>
      <c r="F60" s="14" t="s">
        <v>158</v>
      </c>
      <c r="G60" s="16"/>
      <c r="H60" s="16">
        <f>IF(AND(AND(AND(ITEM28&lt;&gt;1,J$55&lt;&gt;1),Y&gt;=9),X&lt;=50),0,0)</f>
        <v>0</v>
      </c>
      <c r="I60" s="15" t="s">
        <v>86</v>
      </c>
      <c r="J60" s="20">
        <f>SUM(H58:H60)</f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2.75">
      <c r="A61" s="14"/>
      <c r="B61" s="14"/>
      <c r="C61" s="14"/>
      <c r="D61" s="14"/>
      <c r="E61" s="14"/>
      <c r="F61" s="14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2.75">
      <c r="A62" s="14"/>
      <c r="B62" s="14" t="s">
        <v>117</v>
      </c>
      <c r="C62" s="14"/>
      <c r="D62" s="14"/>
      <c r="E62" s="14"/>
      <c r="F62" s="14"/>
      <c r="G62" s="16"/>
      <c r="H62" s="16"/>
      <c r="I62" s="16"/>
      <c r="J62" s="1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2.75">
      <c r="A63" s="14"/>
      <c r="B63" s="14"/>
      <c r="C63" s="14" t="s">
        <v>137</v>
      </c>
      <c r="D63" s="21" t="s">
        <v>150</v>
      </c>
      <c r="E63" s="14"/>
      <c r="F63" s="14" t="s">
        <v>156</v>
      </c>
      <c r="G63" s="16"/>
      <c r="H63" s="16">
        <f>IF(AND(AND(AND(AND(ITEM28&lt;&gt;1,J$55&lt;&gt;1),Y&lt;10),X&gt;50),X&lt;=125),15,0)</f>
        <v>0</v>
      </c>
      <c r="I63" s="16"/>
      <c r="J63" s="1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2.75">
      <c r="A64" s="14"/>
      <c r="B64" s="14"/>
      <c r="C64" s="14" t="s">
        <v>138</v>
      </c>
      <c r="D64" s="14"/>
      <c r="E64" s="14"/>
      <c r="F64" s="14" t="s">
        <v>178</v>
      </c>
      <c r="G64" s="16"/>
      <c r="H64" s="16">
        <f>IF(AND(AND(AND(AND(AND(ITEM28&lt;&gt;1,J$55&lt;&gt;1),Y&gt;=10),Y&lt;13),X&gt;50),X&lt;=125),15*(13-Y)/3,0)</f>
        <v>0</v>
      </c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2.75">
      <c r="A65" s="14"/>
      <c r="B65" s="14"/>
      <c r="C65" s="14" t="s">
        <v>139</v>
      </c>
      <c r="D65" s="14"/>
      <c r="E65" s="14"/>
      <c r="F65" s="14" t="s">
        <v>158</v>
      </c>
      <c r="G65" s="16"/>
      <c r="H65" s="16">
        <f>IF(AND(AND(AND(AND(ITEM28&lt;&gt;1,J$55&lt;&gt;1),Y&gt;=13),X&gt;50),X&lt;=125),0,0)</f>
        <v>0</v>
      </c>
      <c r="I65" s="15" t="s">
        <v>86</v>
      </c>
      <c r="J65" s="20">
        <f>SUM(H63:H65)</f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2.75">
      <c r="A66" s="14"/>
      <c r="B66" s="14"/>
      <c r="C66" s="14"/>
      <c r="D66" s="14"/>
      <c r="E66" s="14"/>
      <c r="F66" s="14"/>
      <c r="G66" s="16"/>
      <c r="H66" s="16"/>
      <c r="I66" s="16"/>
      <c r="J66" s="1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2.75">
      <c r="A67" s="14"/>
      <c r="B67" s="14" t="s">
        <v>118</v>
      </c>
      <c r="C67" s="14"/>
      <c r="D67" s="14"/>
      <c r="E67" s="14"/>
      <c r="F67" s="14"/>
      <c r="G67" s="16"/>
      <c r="H67" s="16"/>
      <c r="I67" s="16"/>
      <c r="J67" s="16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2.75">
      <c r="A68" s="14"/>
      <c r="B68" s="14"/>
      <c r="C68" s="14" t="s">
        <v>140</v>
      </c>
      <c r="D68" s="14" t="s">
        <v>150</v>
      </c>
      <c r="E68" s="14"/>
      <c r="F68" s="14" t="s">
        <v>156</v>
      </c>
      <c r="G68" s="16"/>
      <c r="H68" s="16">
        <f>IF(AND(AND(AND(AND(ITEM28&lt;&gt;1,J$55&lt;&gt;1),Y&lt;11),X&gt;125),X&lt;=375),15,0)</f>
        <v>0</v>
      </c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2.75">
      <c r="A69" s="14"/>
      <c r="B69" s="14"/>
      <c r="C69" s="14" t="s">
        <v>141</v>
      </c>
      <c r="D69" s="14"/>
      <c r="E69" s="14"/>
      <c r="F69" s="14" t="s">
        <v>179</v>
      </c>
      <c r="G69" s="16"/>
      <c r="H69" s="16">
        <f>IF(AND(AND(AND(AND(AND(ITEM28&lt;&gt;1,J$55&lt;&gt;1),Y&gt;=11),Y&lt;14),X&gt;125),X&lt;=375),15*(14-Y)/3,0)</f>
        <v>0</v>
      </c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2.75">
      <c r="A70" s="14"/>
      <c r="B70" s="14"/>
      <c r="C70" s="14" t="s">
        <v>142</v>
      </c>
      <c r="D70" s="14"/>
      <c r="E70" s="14"/>
      <c r="F70" s="14" t="s">
        <v>158</v>
      </c>
      <c r="G70" s="16"/>
      <c r="H70" s="16">
        <f>IF(AND(AND(AND(AND(ITEM28&lt;&gt;1,J$55&lt;&gt;1),Y&gt;=14),X&gt;125),X&lt;=375),0,0)</f>
        <v>0</v>
      </c>
      <c r="I70" s="15" t="s">
        <v>86</v>
      </c>
      <c r="J70" s="20">
        <f>SUM(H68:H70)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2.75">
      <c r="A71" s="14"/>
      <c r="B71" s="14"/>
      <c r="C71" s="14"/>
      <c r="D71" s="14"/>
      <c r="E71" s="14"/>
      <c r="F71" s="14"/>
      <c r="G71" s="16"/>
      <c r="H71" s="16"/>
      <c r="I71" s="16"/>
      <c r="J71" s="1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2.75">
      <c r="A72" s="14"/>
      <c r="B72" s="14" t="s">
        <v>119</v>
      </c>
      <c r="C72" s="14"/>
      <c r="D72" s="14"/>
      <c r="E72" s="14"/>
      <c r="F72" s="14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2.75">
      <c r="A73" s="14"/>
      <c r="B73" s="14"/>
      <c r="C73" s="14" t="s">
        <v>143</v>
      </c>
      <c r="D73" s="14"/>
      <c r="E73" s="14"/>
      <c r="F73" s="14" t="s">
        <v>156</v>
      </c>
      <c r="G73" s="16"/>
      <c r="H73" s="16">
        <f>IF(AND(AND(AND(AND(ITEM28&lt;&gt;1,J$55&lt;&gt;1),Y&lt;12),X&gt;375),X&lt;=1350),15,0)</f>
        <v>0</v>
      </c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2.75">
      <c r="A74" s="14"/>
      <c r="B74" s="14"/>
      <c r="C74" s="14" t="s">
        <v>144</v>
      </c>
      <c r="D74" s="14"/>
      <c r="E74" s="14"/>
      <c r="F74" s="14" t="s">
        <v>180</v>
      </c>
      <c r="G74" s="16"/>
      <c r="H74" s="16">
        <f>IF(AND(AND(AND(AND(AND(ITEM28&lt;&gt;1,J$55&lt;&gt;1),Y&gt;=12),Y&lt;16),X&gt;375),X&lt;=1350),15*(16-Y)/3,0)</f>
        <v>0</v>
      </c>
      <c r="I74" s="16"/>
      <c r="J74" s="16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2.75">
      <c r="A75" s="14"/>
      <c r="B75" s="14"/>
      <c r="C75" s="14" t="s">
        <v>145</v>
      </c>
      <c r="D75" s="14"/>
      <c r="E75" s="14"/>
      <c r="F75" s="14" t="s">
        <v>158</v>
      </c>
      <c r="G75" s="16"/>
      <c r="H75" s="16">
        <f>IF(AND(AND(AND(AND(ITEM28&lt;&gt;1,J$55&lt;&gt;1),Y&gt;=16),X&gt;375),X&lt;=1350),0,0)</f>
        <v>0</v>
      </c>
      <c r="I75" s="15" t="s">
        <v>86</v>
      </c>
      <c r="J75" s="20">
        <f>SUM(H73:H75)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2.75">
      <c r="A76" s="14"/>
      <c r="B76" s="14"/>
      <c r="C76" s="14"/>
      <c r="D76" s="14"/>
      <c r="E76" s="14"/>
      <c r="F76" s="14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2.75">
      <c r="A77" s="14"/>
      <c r="B77" s="14" t="s">
        <v>120</v>
      </c>
      <c r="C77" s="14"/>
      <c r="D77" s="14"/>
      <c r="E77" s="14"/>
      <c r="F77" s="14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2.75">
      <c r="A78" s="14"/>
      <c r="B78" s="14"/>
      <c r="C78" s="14" t="s">
        <v>146</v>
      </c>
      <c r="D78" s="14"/>
      <c r="E78" s="14"/>
      <c r="F78" s="14" t="s">
        <v>156</v>
      </c>
      <c r="G78" s="16"/>
      <c r="H78" s="16">
        <f>IF(AND(AND(AND(ITEM28&lt;&gt;1,J$55&lt;&gt;1),Y&lt;15),X&gt;1350),15,0)</f>
        <v>0</v>
      </c>
      <c r="I78" s="16"/>
      <c r="J78" s="16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2.75">
      <c r="A79" s="14"/>
      <c r="B79" s="14"/>
      <c r="C79" s="14" t="s">
        <v>147</v>
      </c>
      <c r="D79" s="14"/>
      <c r="E79" s="14"/>
      <c r="F79" s="14" t="s">
        <v>181</v>
      </c>
      <c r="G79" s="16"/>
      <c r="H79" s="16">
        <f>IF(AND(AND(AND(AND(ITEM28&lt;&gt;1,J$55&lt;&gt;1),Y&gt;=15),Y&lt;16),X&gt;1350),15*(16-Y),0)</f>
        <v>0</v>
      </c>
      <c r="I79" s="16"/>
      <c r="J79" s="16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2.75">
      <c r="A80" s="14"/>
      <c r="B80" s="14"/>
      <c r="C80" s="14" t="s">
        <v>145</v>
      </c>
      <c r="D80" s="14"/>
      <c r="E80" s="14"/>
      <c r="F80" s="14" t="s">
        <v>158</v>
      </c>
      <c r="G80" s="16"/>
      <c r="H80" s="16">
        <f>IF(AND(AND(AND(AND(ITEM28&lt;&gt;1,J$55&lt;&gt;1),Y&gt;=16),X&gt;1350),X&lt;=1350),0,0)</f>
        <v>0</v>
      </c>
      <c r="I80" s="15" t="s">
        <v>86</v>
      </c>
      <c r="J80" s="20">
        <f>SUM(H78:H80)</f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2.75">
      <c r="A81" s="14"/>
      <c r="B81" s="14"/>
      <c r="C81" s="14"/>
      <c r="D81" s="14"/>
      <c r="E81" s="14"/>
      <c r="F81" s="14"/>
      <c r="G81" s="16"/>
      <c r="H81" s="16"/>
      <c r="I81" s="16"/>
      <c r="J81" s="16" t="s">
        <v>193</v>
      </c>
      <c r="K81" s="16">
        <f>SUM(J48:J80)-J55</f>
        <v>7.874999999999998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2.75">
      <c r="A82" s="14"/>
      <c r="B82" s="14" t="s">
        <v>121</v>
      </c>
      <c r="C82" s="14"/>
      <c r="D82" s="14"/>
      <c r="E82" s="14"/>
      <c r="F82" s="14"/>
      <c r="G82" s="16"/>
      <c r="H82" s="16"/>
      <c r="I82" s="16"/>
      <c r="J82" s="16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2.75">
      <c r="A83" s="14"/>
      <c r="B83" s="14"/>
      <c r="C83" s="14"/>
      <c r="D83" s="14"/>
      <c r="E83" s="14"/>
      <c r="F83" s="14"/>
      <c r="G83" s="16"/>
      <c r="H83" s="16"/>
      <c r="I83" s="16"/>
      <c r="J83" s="16">
        <f>(K81)+J42</f>
        <v>12.874999999999998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2.75">
      <c r="A84" s="14"/>
      <c r="B84" s="14"/>
      <c r="C84" s="14"/>
      <c r="D84" s="14"/>
      <c r="E84" s="14"/>
      <c r="F84" s="14"/>
      <c r="G84" s="16"/>
      <c r="H84" s="16"/>
      <c r="I84" s="15" t="s">
        <v>192</v>
      </c>
      <c r="J84" s="16">
        <f>IF(J83&lt;0,0,IF(J83&gt;15,15,J83))</f>
        <v>12.874999999999998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2.75">
      <c r="A85" s="14"/>
      <c r="B85" s="14" t="s">
        <v>122</v>
      </c>
      <c r="C85" s="14"/>
      <c r="D85" s="14"/>
      <c r="E85" s="14"/>
      <c r="F85" s="14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2.75">
      <c r="A86" s="14"/>
      <c r="B86" s="14" t="s">
        <v>123</v>
      </c>
      <c r="C86" s="14"/>
      <c r="D86" s="14"/>
      <c r="E86" s="14"/>
      <c r="F86" s="14"/>
      <c r="G86" s="16"/>
      <c r="H86" s="16"/>
      <c r="I86" s="16"/>
      <c r="J86" s="16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2.75">
      <c r="A87" s="14"/>
      <c r="B87" s="14"/>
      <c r="C87" s="14"/>
      <c r="D87" s="13" t="s">
        <v>151</v>
      </c>
      <c r="E87" s="21" t="s">
        <v>150</v>
      </c>
      <c r="F87" s="14" t="s">
        <v>182</v>
      </c>
      <c r="G87" s="16"/>
      <c r="H87" s="16"/>
      <c r="I87" s="16"/>
      <c r="J87" s="16">
        <f>IF(AND(ITEM100="Y",ITEM53&gt;=0),0,0)</f>
        <v>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2.75">
      <c r="A88" s="14"/>
      <c r="B88" s="14"/>
      <c r="C88" s="14"/>
      <c r="D88" s="13" t="s">
        <v>152</v>
      </c>
      <c r="E88" s="14"/>
      <c r="F88" s="14" t="s">
        <v>183</v>
      </c>
      <c r="G88" s="16"/>
      <c r="H88" s="16"/>
      <c r="I88" s="16"/>
      <c r="J88" s="16">
        <f>IF(AND(ITEM100="Y",ITEM53&lt;16),2,0)</f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2.75">
      <c r="A89" s="14"/>
      <c r="B89" s="14"/>
      <c r="C89" s="14"/>
      <c r="D89" s="14"/>
      <c r="E89" s="14"/>
      <c r="F89" s="14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2.75">
      <c r="A90" s="14"/>
      <c r="B90" s="14" t="s">
        <v>124</v>
      </c>
      <c r="C90" s="14"/>
      <c r="D90" s="14"/>
      <c r="E90" s="14"/>
      <c r="F90" s="14"/>
      <c r="G90" s="16"/>
      <c r="H90" s="16"/>
      <c r="I90" s="16"/>
      <c r="J90" s="16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2.75">
      <c r="A91" s="14"/>
      <c r="B91" s="14"/>
      <c r="C91" s="14"/>
      <c r="D91" s="13" t="s">
        <v>153</v>
      </c>
      <c r="E91" s="21" t="s">
        <v>150</v>
      </c>
      <c r="F91" s="14" t="s">
        <v>182</v>
      </c>
      <c r="G91" s="16"/>
      <c r="H91" s="16"/>
      <c r="I91" s="16"/>
      <c r="J91" s="16">
        <f>IF(AND(ITEM100="N",ITEM53&gt;=14),0,0)</f>
        <v>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2.75">
      <c r="A92" s="14"/>
      <c r="B92" s="14"/>
      <c r="C92" s="14"/>
      <c r="D92" s="13" t="s">
        <v>154</v>
      </c>
      <c r="E92" s="14"/>
      <c r="F92" s="14" t="s">
        <v>183</v>
      </c>
      <c r="G92" s="16"/>
      <c r="H92" s="16"/>
      <c r="I92" s="16"/>
      <c r="J92" s="16">
        <f>IF(AND(ITEM100="N",ITEM53&lt;14),2,0)</f>
        <v>0</v>
      </c>
      <c r="K92" s="16">
        <f>SUM(J87:J92)</f>
        <v>0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2.75">
      <c r="A93" s="14"/>
      <c r="B93" s="14"/>
      <c r="C93" s="14"/>
      <c r="D93" s="14"/>
      <c r="E93" s="14"/>
      <c r="F93" s="14"/>
      <c r="G93" s="16"/>
      <c r="H93" s="16"/>
      <c r="I93" s="16"/>
      <c r="J93" s="16"/>
      <c r="K93" s="16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2.75">
      <c r="A94" s="14"/>
      <c r="B94" s="14" t="s">
        <v>125</v>
      </c>
      <c r="C94" s="14"/>
      <c r="D94" s="14"/>
      <c r="E94" s="14"/>
      <c r="F94" s="14"/>
      <c r="G94" s="16"/>
      <c r="H94" s="16"/>
      <c r="I94" s="16"/>
      <c r="J94" s="14"/>
      <c r="K94" s="16">
        <f>IF(30-(J+J84+K92)&lt;0,0,IF(30-(J+J84+K92)&gt;30,30,30-(J+J84+K92)))</f>
        <v>11.125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2.75">
      <c r="A95" s="14"/>
      <c r="B95" s="14" t="s">
        <v>126</v>
      </c>
      <c r="C95" s="14"/>
      <c r="D95" s="14"/>
      <c r="E95" s="14"/>
      <c r="F95" s="14"/>
      <c r="G95" s="16"/>
      <c r="H95" s="16"/>
      <c r="I95" s="16"/>
      <c r="J95" s="15" t="s">
        <v>194</v>
      </c>
      <c r="K95" s="16">
        <f>IF(K94&lt;0,0,IF(K94&gt;30,30,K94))</f>
        <v>11.125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</sheetData>
  <printOptions/>
  <pageMargins left="0.5" right="0.5" top="0.5" bottom="0.5854166666666667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OutlineSymbols="0" zoomScale="87" zoomScaleNormal="87" workbookViewId="0" topLeftCell="A1">
      <selection activeCell="H12" sqref="H12"/>
    </sheetView>
  </sheetViews>
  <sheetFormatPr defaultColWidth="8.88671875" defaultRowHeight="15"/>
  <cols>
    <col min="1" max="2" width="9.6640625" style="12" customWidth="1"/>
    <col min="3" max="3" width="7.6640625" style="12" customWidth="1"/>
    <col min="4" max="4" width="10.6640625" style="12" customWidth="1"/>
    <col min="5" max="5" width="6.6640625" style="12" customWidth="1"/>
    <col min="6" max="6" width="9.6640625" style="12" customWidth="1"/>
    <col min="7" max="7" width="6.6640625" style="12" customWidth="1"/>
    <col min="8" max="16384" width="9.6640625" style="12" customWidth="1"/>
  </cols>
  <sheetData>
    <row r="1" spans="1:9" ht="15">
      <c r="A1" s="14" t="s">
        <v>196</v>
      </c>
      <c r="B1" s="14"/>
      <c r="C1" s="14"/>
      <c r="D1" s="14"/>
      <c r="E1" s="14"/>
      <c r="F1" s="14"/>
      <c r="G1" s="14"/>
      <c r="H1" s="14"/>
      <c r="I1" s="8"/>
    </row>
    <row r="2" spans="1:9" ht="15">
      <c r="A2" s="14" t="s">
        <v>197</v>
      </c>
      <c r="B2" s="14" t="s">
        <v>198</v>
      </c>
      <c r="C2" s="14"/>
      <c r="D2" s="14"/>
      <c r="E2" s="14"/>
      <c r="F2" s="14"/>
      <c r="G2" s="14"/>
      <c r="H2" s="14"/>
      <c r="I2" s="8"/>
    </row>
    <row r="3" spans="1:9" ht="15">
      <c r="A3" s="14"/>
      <c r="B3" s="14" t="s">
        <v>199</v>
      </c>
      <c r="C3" s="14"/>
      <c r="D3" s="14"/>
      <c r="E3" s="14"/>
      <c r="F3" s="14"/>
      <c r="G3" s="14"/>
      <c r="H3" s="16">
        <f>('S1'+'S2')/85</f>
        <v>0.5072689364259251</v>
      </c>
      <c r="I3" s="17"/>
    </row>
    <row r="4" spans="1:9" ht="15">
      <c r="A4" s="14"/>
      <c r="B4" s="14" t="s">
        <v>200</v>
      </c>
      <c r="C4" s="14"/>
      <c r="D4" s="14"/>
      <c r="E4" s="14"/>
      <c r="F4" s="14"/>
      <c r="G4" s="14"/>
      <c r="H4" s="16"/>
      <c r="I4" s="17"/>
    </row>
    <row r="5" spans="1:9" ht="15">
      <c r="A5" s="14"/>
      <c r="B5" s="14" t="s">
        <v>201</v>
      </c>
      <c r="C5" s="14"/>
      <c r="D5" s="14"/>
      <c r="E5" s="14"/>
      <c r="F5" s="14"/>
      <c r="G5" s="14"/>
      <c r="H5" s="16">
        <f>IF(K=0,100,((ITEM29*ITEM19)/(200000*K))*15)</f>
        <v>0.05322620421079683</v>
      </c>
      <c r="I5" s="17"/>
    </row>
    <row r="6" spans="1:9" ht="15">
      <c r="A6" s="14"/>
      <c r="B6" s="14" t="s">
        <v>202</v>
      </c>
      <c r="C6" s="14"/>
      <c r="D6" s="14"/>
      <c r="E6" s="14"/>
      <c r="F6" s="14"/>
      <c r="G6" s="15" t="s">
        <v>210</v>
      </c>
      <c r="H6" s="16">
        <f>IF(H5&lt;0,0,IF(H5&gt;15,15,H5))</f>
        <v>0.05322620421079683</v>
      </c>
      <c r="I6" s="17"/>
    </row>
    <row r="7" spans="1:9" ht="15">
      <c r="A7" s="14"/>
      <c r="B7" s="14"/>
      <c r="C7" s="14"/>
      <c r="D7" s="14"/>
      <c r="E7" s="14"/>
      <c r="F7" s="14"/>
      <c r="G7" s="14"/>
      <c r="H7" s="16"/>
      <c r="I7" s="17"/>
    </row>
    <row r="8" spans="1:9" ht="15">
      <c r="A8" s="14"/>
      <c r="B8" s="14" t="s">
        <v>203</v>
      </c>
      <c r="C8" s="14"/>
      <c r="D8" s="14"/>
      <c r="E8" s="14"/>
      <c r="F8" s="14"/>
      <c r="G8" s="14"/>
      <c r="H8" s="16"/>
      <c r="I8" s="17"/>
    </row>
    <row r="9" spans="1:9" ht="15">
      <c r="A9" s="14"/>
      <c r="B9" s="14"/>
      <c r="C9" s="14"/>
      <c r="D9" s="14" t="s">
        <v>206</v>
      </c>
      <c r="E9" s="14" t="s">
        <v>208</v>
      </c>
      <c r="F9" s="8"/>
      <c r="G9" s="14"/>
      <c r="H9" s="16">
        <f>IF(ITEM100="Y",2,0)</f>
        <v>0</v>
      </c>
      <c r="I9" s="17"/>
    </row>
    <row r="10" spans="1:9" ht="15">
      <c r="A10" s="14"/>
      <c r="B10" s="14"/>
      <c r="C10" s="14"/>
      <c r="D10" s="14" t="s">
        <v>207</v>
      </c>
      <c r="E10" s="14" t="s">
        <v>209</v>
      </c>
      <c r="F10" s="8"/>
      <c r="G10" s="14"/>
      <c r="H10" s="16">
        <v>0</v>
      </c>
      <c r="I10" s="17"/>
    </row>
    <row r="11" spans="1:9" ht="15">
      <c r="A11" s="14"/>
      <c r="B11" s="14"/>
      <c r="C11" s="14"/>
      <c r="D11" s="14"/>
      <c r="E11" s="14"/>
      <c r="F11" s="14"/>
      <c r="G11" s="14"/>
      <c r="H11" s="16"/>
      <c r="I11" s="17"/>
    </row>
    <row r="12" spans="1:9" ht="15">
      <c r="A12" s="14"/>
      <c r="B12" s="14" t="s">
        <v>204</v>
      </c>
      <c r="C12" s="14"/>
      <c r="D12" s="14"/>
      <c r="E12" s="14"/>
      <c r="F12" s="14"/>
      <c r="G12" s="8"/>
      <c r="H12" s="16">
        <f>15-(H6+H9)</f>
        <v>14.946773795789204</v>
      </c>
      <c r="I12" s="17"/>
    </row>
    <row r="13" spans="1:9" ht="15">
      <c r="A13" s="14"/>
      <c r="B13" s="14" t="s">
        <v>205</v>
      </c>
      <c r="C13" s="14"/>
      <c r="D13" s="14"/>
      <c r="E13" s="14"/>
      <c r="F13" s="14"/>
      <c r="G13" s="15" t="s">
        <v>211</v>
      </c>
      <c r="H13" s="16">
        <f>IF(H12&lt;0,0,IF(H12&gt;15,15,H12))</f>
        <v>14.946773795789204</v>
      </c>
      <c r="I13" s="17"/>
    </row>
    <row r="14" spans="1:9" ht="15">
      <c r="A14" s="8"/>
      <c r="B14" s="8"/>
      <c r="C14" s="8"/>
      <c r="D14" s="8"/>
      <c r="E14" s="8"/>
      <c r="F14" s="8"/>
      <c r="G14" s="8"/>
      <c r="H14" s="17"/>
      <c r="I14" s="17"/>
    </row>
  </sheetData>
  <printOptions/>
  <pageMargins left="0.5" right="0.5" top="0.5" bottom="0.585416666666666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OutlineSymbols="0" zoomScale="87" zoomScaleNormal="87" workbookViewId="0" topLeftCell="A1">
      <selection activeCell="E14" sqref="E14"/>
    </sheetView>
  </sheetViews>
  <sheetFormatPr defaultColWidth="8.88671875" defaultRowHeight="15"/>
  <cols>
    <col min="1" max="5" width="9.6640625" style="19" customWidth="1"/>
    <col min="6" max="6" width="6.6640625" style="19" customWidth="1"/>
    <col min="7" max="7" width="5.6640625" style="19" customWidth="1"/>
    <col min="8" max="16384" width="9.6640625" style="19" customWidth="1"/>
  </cols>
  <sheetData>
    <row r="1" ht="12.75">
      <c r="A1" s="22" t="s">
        <v>212</v>
      </c>
    </row>
    <row r="2" ht="12.75">
      <c r="A2" s="22" t="s">
        <v>213</v>
      </c>
    </row>
    <row r="3" spans="1:8" ht="12.75">
      <c r="A3" s="14"/>
      <c r="B3" s="14" t="s">
        <v>220</v>
      </c>
      <c r="C3" s="14"/>
      <c r="D3" s="14"/>
      <c r="E3" s="14"/>
      <c r="F3" s="14"/>
      <c r="G3" s="14"/>
      <c r="H3" s="16">
        <f>IF('S1'+'S2'+'S3'&gt;50,((ITEM19^4)*(0.00000005205)),0)</f>
        <v>1.33248E-05</v>
      </c>
    </row>
    <row r="4" spans="1:8" ht="12.75">
      <c r="A4" s="14"/>
      <c r="B4" s="14" t="s">
        <v>221</v>
      </c>
      <c r="C4" s="14"/>
      <c r="D4" s="14"/>
      <c r="E4" s="14"/>
      <c r="F4" s="14"/>
      <c r="G4" s="15" t="s">
        <v>228</v>
      </c>
      <c r="H4" s="35">
        <f>IF(H3&lt;0,0,IF(H3&gt;5,5,H3))</f>
        <v>1.33248E-05</v>
      </c>
    </row>
    <row r="7" ht="12.75">
      <c r="A7" s="22" t="s">
        <v>214</v>
      </c>
    </row>
    <row r="8" ht="12.75">
      <c r="A8" s="22" t="s">
        <v>235</v>
      </c>
    </row>
    <row r="9" spans="1:8" ht="12.75">
      <c r="A9" s="14"/>
      <c r="B9" s="14" t="s">
        <v>222</v>
      </c>
      <c r="C9" s="14"/>
      <c r="D9" s="13" t="s">
        <v>223</v>
      </c>
      <c r="E9" s="14"/>
      <c r="F9" s="14"/>
      <c r="G9" s="14"/>
      <c r="H9" s="14"/>
    </row>
    <row r="10" spans="4:5" ht="12.75">
      <c r="D10" s="19">
        <v>10</v>
      </c>
      <c r="E10" s="19">
        <f aca="true" t="shared" si="0" ref="E10:E16">IF(VALUE(RIGHT(ITEM43,2))=D10,1,0)</f>
        <v>0</v>
      </c>
    </row>
    <row r="11" spans="4:5" ht="12.75">
      <c r="D11" s="19">
        <v>12</v>
      </c>
      <c r="E11" s="19">
        <f t="shared" si="0"/>
        <v>0</v>
      </c>
    </row>
    <row r="12" spans="4:5" ht="12.75">
      <c r="D12" s="19">
        <v>13</v>
      </c>
      <c r="E12" s="19">
        <f t="shared" si="0"/>
        <v>0</v>
      </c>
    </row>
    <row r="13" spans="4:5" ht="12.75">
      <c r="D13" s="19">
        <v>14</v>
      </c>
      <c r="E13" s="19">
        <f t="shared" si="0"/>
        <v>0</v>
      </c>
    </row>
    <row r="14" spans="4:5" ht="12.75">
      <c r="D14" s="19">
        <v>15</v>
      </c>
      <c r="E14" s="19">
        <f t="shared" si="0"/>
        <v>0</v>
      </c>
    </row>
    <row r="15" spans="4:5" ht="12.75">
      <c r="D15" s="19">
        <v>16</v>
      </c>
      <c r="E15" s="19">
        <f t="shared" si="0"/>
        <v>0</v>
      </c>
    </row>
    <row r="16" spans="1:8" ht="12.75">
      <c r="A16" s="14"/>
      <c r="B16" s="14"/>
      <c r="C16" s="14"/>
      <c r="D16" s="14">
        <v>17</v>
      </c>
      <c r="E16" s="14">
        <f t="shared" si="0"/>
        <v>0</v>
      </c>
      <c r="F16" s="14"/>
      <c r="G16" s="14"/>
      <c r="H16" s="14"/>
    </row>
    <row r="17" spans="1:8" ht="12.75">
      <c r="A17" s="14"/>
      <c r="B17" s="14"/>
      <c r="C17" s="14"/>
      <c r="D17" s="14">
        <v>80</v>
      </c>
      <c r="E17" s="23">
        <f>IF(VALUE(RIGHT(ITEM43,2))=D17,1,0)</f>
        <v>1</v>
      </c>
      <c r="F17" s="14"/>
      <c r="G17" s="14"/>
      <c r="H17" s="14"/>
    </row>
    <row r="18" spans="1:8" ht="12.75">
      <c r="A18" s="14"/>
      <c r="B18" s="14"/>
      <c r="C18" s="14"/>
      <c r="D18" s="13" t="s">
        <v>193</v>
      </c>
      <c r="E18" s="14">
        <f>SUM(E10:E17)</f>
        <v>1</v>
      </c>
      <c r="F18" s="14"/>
      <c r="G18" s="15" t="s">
        <v>229</v>
      </c>
      <c r="H18" s="24">
        <f>IF(E18=1,5,0)</f>
        <v>5</v>
      </c>
    </row>
    <row r="20" spans="1:8" ht="12.75">
      <c r="A20" s="14" t="s">
        <v>215</v>
      </c>
      <c r="B20" s="14"/>
      <c r="C20" s="14"/>
      <c r="D20" s="14"/>
      <c r="E20" s="14"/>
      <c r="F20" s="16" t="s">
        <v>224</v>
      </c>
      <c r="G20" s="20">
        <f>VALUE(LEFT(ITEM36,1))</f>
        <v>0</v>
      </c>
      <c r="H20" s="14"/>
    </row>
    <row r="21" spans="1:8" ht="12.75">
      <c r="A21" s="14" t="s">
        <v>216</v>
      </c>
      <c r="B21" s="14"/>
      <c r="C21" s="14"/>
      <c r="D21" s="14"/>
      <c r="E21" s="14"/>
      <c r="F21" s="16" t="s">
        <v>225</v>
      </c>
      <c r="G21" s="20">
        <f>VALUE(MID(ITEM36,2,1))</f>
        <v>0</v>
      </c>
      <c r="H21" s="14"/>
    </row>
    <row r="22" spans="1:8" ht="12.75">
      <c r="A22" s="14" t="s">
        <v>217</v>
      </c>
      <c r="B22" s="14"/>
      <c r="C22" s="14"/>
      <c r="D22" s="14"/>
      <c r="E22" s="14"/>
      <c r="F22" s="16" t="s">
        <v>226</v>
      </c>
      <c r="G22" s="20">
        <f>VALUE(MID(ITEM36,3,1))</f>
        <v>0</v>
      </c>
      <c r="H22" s="16" t="s">
        <v>231</v>
      </c>
    </row>
    <row r="23" spans="1:8" ht="12.75">
      <c r="A23" s="14"/>
      <c r="B23" s="14"/>
      <c r="C23" s="14"/>
      <c r="D23" s="14"/>
      <c r="E23" s="14"/>
      <c r="F23" s="16" t="s">
        <v>227</v>
      </c>
      <c r="G23" s="20">
        <f>VALUE(RIGHT(ITEM36,1))</f>
        <v>0</v>
      </c>
      <c r="H23" s="20">
        <f>4-SUM(G20:G23)</f>
        <v>4</v>
      </c>
    </row>
    <row r="24" spans="1:8" ht="12.75">
      <c r="A24" s="14"/>
      <c r="B24" s="14"/>
      <c r="C24" s="14"/>
      <c r="D24" s="14"/>
      <c r="E24" s="14"/>
      <c r="F24" s="14"/>
      <c r="G24" s="15" t="s">
        <v>186</v>
      </c>
      <c r="H24" s="20">
        <f>IF(H23=1,0,IF(H23=2,1,IF(H23=3,2,IF(H23=4,3,"Error"))))</f>
        <v>3</v>
      </c>
    </row>
    <row r="26" spans="1:8" ht="12.75">
      <c r="A26" s="14" t="s">
        <v>218</v>
      </c>
      <c r="B26" s="14"/>
      <c r="C26" s="14"/>
      <c r="D26" s="14"/>
      <c r="E26" s="14"/>
      <c r="F26" s="14"/>
      <c r="G26" s="14"/>
      <c r="H26" s="16">
        <f>(H3+H18+H24)</f>
        <v>8.000013324800001</v>
      </c>
    </row>
    <row r="27" spans="1:8" ht="12.75">
      <c r="A27" s="14" t="s">
        <v>219</v>
      </c>
      <c r="B27" s="14"/>
      <c r="C27" s="14"/>
      <c r="D27" s="14"/>
      <c r="E27" s="14"/>
      <c r="F27" s="14"/>
      <c r="G27" s="15" t="s">
        <v>230</v>
      </c>
      <c r="H27" s="16">
        <f>IF('S1'+'S2'+'S3'&lt;50,0,IF(H26&lt;0,0,IF(H26&gt;13,13,H26)))</f>
        <v>8.000013324800001</v>
      </c>
    </row>
  </sheetData>
  <printOptions/>
  <pageMargins left="0.5" right="0.5" top="0.5" bottom="0.5854166666666667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