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465" windowHeight="4245" tabRatio="795" activeTab="0"/>
  </bookViews>
  <sheets>
    <sheet name="Mix Info" sheetId="1" r:id="rId1"/>
    <sheet name="Substitution" sheetId="2" r:id="rId2"/>
    <sheet name=" Form E820150" sheetId="3" r:id="rId3"/>
    <sheet name="Batch Wts. English" sheetId="4" r:id="rId4"/>
    <sheet name="Batch Wts. Metric" sheetId="5" state="hidden" r:id="rId5"/>
    <sheet name="Form E820150M" sheetId="6" state="hidden" r:id="rId6"/>
    <sheet name="E820150A" sheetId="7" state="hidden" r:id="rId7"/>
  </sheets>
  <definedNames>
    <definedName name="Article">'Substitution'!$I$3:$Q$17</definedName>
    <definedName name="MIX">'E820150A'!$A$44:$A$105</definedName>
    <definedName name="_xlnm.Print_Area" localSheetId="2">' Form E820150'!$A$1:$H$61</definedName>
    <definedName name="_xlnm.Print_Area" localSheetId="0">'Mix Info'!$A$1:$I$27</definedName>
  </definedNames>
  <calcPr fullCalcOnLoad="1"/>
</workbook>
</file>

<file path=xl/sharedStrings.xml><?xml version="1.0" encoding="utf-8"?>
<sst xmlns="http://schemas.openxmlformats.org/spreadsheetml/2006/main" count="507" uniqueCount="286">
  <si>
    <t xml:space="preserve">Cement Type:  </t>
  </si>
  <si>
    <t xml:space="preserve">Cement Specific Gravity:  </t>
  </si>
  <si>
    <t xml:space="preserve">Fly Ash Specific Gravity:  </t>
  </si>
  <si>
    <t>Cement</t>
  </si>
  <si>
    <t>Fly Ash</t>
  </si>
  <si>
    <t>Total</t>
  </si>
  <si>
    <t xml:space="preserve">Date: </t>
  </si>
  <si>
    <t>GGBFS</t>
  </si>
  <si>
    <t xml:space="preserve">GGBFS Specific Gravity:  </t>
  </si>
  <si>
    <t xml:space="preserve">Mix Type:  </t>
  </si>
  <si>
    <t xml:space="preserve">Date:  </t>
  </si>
  <si>
    <t xml:space="preserve">% Fly Ash:  </t>
  </si>
  <si>
    <t xml:space="preserve">T-203 Fine Agg. Specific Gravity:  </t>
  </si>
  <si>
    <t xml:space="preserve">Lbs. of Cement: </t>
  </si>
  <si>
    <t xml:space="preserve">Lbs. of Fly Ash: </t>
  </si>
  <si>
    <t xml:space="preserve">Lbs. of Sand: </t>
  </si>
  <si>
    <t xml:space="preserve">Lbs. of Rock: </t>
  </si>
  <si>
    <t xml:space="preserve">Lbs. of GGBFS: </t>
  </si>
  <si>
    <t>C-4</t>
  </si>
  <si>
    <t xml:space="preserve">Lbs. of Intermediate: </t>
  </si>
  <si>
    <t>Mix No.:</t>
  </si>
  <si>
    <t>Cement Type:</t>
  </si>
  <si>
    <t>Cem. Sp. Gr.:</t>
  </si>
  <si>
    <t>%  Fly Ash:</t>
  </si>
  <si>
    <t>Fly Ash SP. G.:</t>
  </si>
  <si>
    <t>Fine Sp. Gr.:</t>
  </si>
  <si>
    <t>CA Sp. Gr.:</t>
  </si>
  <si>
    <t>Cem Abs.</t>
  </si>
  <si>
    <t>Adj. Cem Abs.</t>
  </si>
  <si>
    <t>Fly Ash Abs.</t>
  </si>
  <si>
    <t>Water Abs.</t>
  </si>
  <si>
    <t>Air Abs.</t>
  </si>
  <si>
    <t>Subtotal</t>
  </si>
  <si>
    <t>1 - Subtotal</t>
  </si>
  <si>
    <t>%  FA  Agg.:</t>
  </si>
  <si>
    <t>%  CA  Agg.:</t>
  </si>
  <si>
    <t>Fine Abs.</t>
  </si>
  <si>
    <t>CA Abs.</t>
  </si>
  <si>
    <t>Agg. Total</t>
  </si>
  <si>
    <t>Adj. FA Abs.</t>
  </si>
  <si>
    <t>Adj. CA Abs.</t>
  </si>
  <si>
    <t>Adj. Cement</t>
  </si>
  <si>
    <t>Water Wt.</t>
  </si>
  <si>
    <t>Fine Dry Wt.</t>
  </si>
  <si>
    <t>Ca Dry Wt.</t>
  </si>
  <si>
    <t>Abs.</t>
  </si>
  <si>
    <t>% Fine</t>
  </si>
  <si>
    <t>% Coarse</t>
  </si>
  <si>
    <t>Bas H2O</t>
  </si>
  <si>
    <t>Max. H2O</t>
  </si>
  <si>
    <t>A-2</t>
  </si>
  <si>
    <t>A-3</t>
  </si>
  <si>
    <t>A-4</t>
  </si>
  <si>
    <t>A-5</t>
  </si>
  <si>
    <t>A-6</t>
  </si>
  <si>
    <t>B-2</t>
  </si>
  <si>
    <t>B-3</t>
  </si>
  <si>
    <t>B-4</t>
  </si>
  <si>
    <t>B-5</t>
  </si>
  <si>
    <t>B-6</t>
  </si>
  <si>
    <t>B-7</t>
  </si>
  <si>
    <t>B-8</t>
  </si>
  <si>
    <t>C-2</t>
  </si>
  <si>
    <t>C-3</t>
  </si>
  <si>
    <t>C-5</t>
  </si>
  <si>
    <t>C-6</t>
  </si>
  <si>
    <t>C-3WR</t>
  </si>
  <si>
    <t>C-4WR</t>
  </si>
  <si>
    <t>C-5WR</t>
  </si>
  <si>
    <t>C-6WR</t>
  </si>
  <si>
    <t>D-57</t>
  </si>
  <si>
    <t>D-57-6</t>
  </si>
  <si>
    <t>M-3</t>
  </si>
  <si>
    <t>M-4</t>
  </si>
  <si>
    <t>A-V47B</t>
  </si>
  <si>
    <t>B-V47B</t>
  </si>
  <si>
    <t>A-V</t>
  </si>
  <si>
    <t>B-V</t>
  </si>
  <si>
    <t>C-V</t>
  </si>
  <si>
    <t>M-V</t>
  </si>
  <si>
    <t xml:space="preserve">% GGBFS:  </t>
  </si>
  <si>
    <t>Intermediate Agg. Specific Gravity:</t>
  </si>
  <si>
    <t>%  GGBFS:</t>
  </si>
  <si>
    <t>GGBFS SP. G.:</t>
  </si>
  <si>
    <t>GGBFS Abs.</t>
  </si>
  <si>
    <t>Interm. Dry Wt.</t>
  </si>
  <si>
    <t>Adj. Interm. Abs.</t>
  </si>
  <si>
    <t>%  Interm.  Agg.:</t>
  </si>
  <si>
    <t>Interm. Abs.</t>
  </si>
  <si>
    <t>Interm. Sp. Gr.:</t>
  </si>
  <si>
    <t>BR</t>
  </si>
  <si>
    <t>%Intermediate</t>
  </si>
  <si>
    <r>
      <t>When (</t>
    </r>
    <r>
      <rPr>
        <b/>
        <i/>
        <sz val="10"/>
        <color indexed="10"/>
        <rFont val="Arial MT"/>
        <family val="0"/>
      </rPr>
      <t>ENTER</t>
    </r>
    <r>
      <rPr>
        <b/>
        <i/>
        <sz val="10"/>
        <rFont val="Arial MT"/>
        <family val="0"/>
      </rPr>
      <t>) displays</t>
    </r>
  </si>
  <si>
    <t>QMC</t>
  </si>
  <si>
    <t>English</t>
  </si>
  <si>
    <t>Metric</t>
  </si>
  <si>
    <t>Mix Type:</t>
  </si>
  <si>
    <t>w/c ratio</t>
  </si>
  <si>
    <t xml:space="preserve">kgs. of Cement: </t>
  </si>
  <si>
    <t xml:space="preserve">kgs. of Fly Ash: </t>
  </si>
  <si>
    <t xml:space="preserve">kgs. of GGBFS: </t>
  </si>
  <si>
    <t xml:space="preserve">kgs. of Sand: </t>
  </si>
  <si>
    <t xml:space="preserve">kgs. of Intermediate: </t>
  </si>
  <si>
    <t xml:space="preserve">kgs. of Rock: </t>
  </si>
  <si>
    <t>DRY Batch Wts.(SSD) Per Cu. Yd.</t>
  </si>
  <si>
    <r>
      <t xml:space="preserve">Adjusted Wet Batch Weights - </t>
    </r>
    <r>
      <rPr>
        <b/>
        <sz val="8"/>
        <rFont val="Arial MT"/>
        <family val="0"/>
      </rPr>
      <t>Fine Aggregate</t>
    </r>
    <r>
      <rPr>
        <sz val="8"/>
        <rFont val="Arial MT"/>
        <family val="0"/>
      </rPr>
      <t xml:space="preserve">, % Moisture </t>
    </r>
  </si>
  <si>
    <r>
      <t xml:space="preserve">Adjusted Wet Batch Weights - </t>
    </r>
    <r>
      <rPr>
        <b/>
        <sz val="8"/>
        <rFont val="Arial MT"/>
        <family val="0"/>
      </rPr>
      <t>COARSE Aggregate</t>
    </r>
    <r>
      <rPr>
        <sz val="8"/>
        <rFont val="Arial MT"/>
        <family val="0"/>
      </rPr>
      <t xml:space="preserve">, % Moisture </t>
    </r>
  </si>
  <si>
    <r>
      <t>Basic</t>
    </r>
    <r>
      <rPr>
        <sz val="10"/>
        <rFont val="Arial MT"/>
        <family val="0"/>
      </rPr>
      <t xml:space="preserve"> water req. (lbs.):</t>
    </r>
  </si>
  <si>
    <r>
      <t>Max</t>
    </r>
    <r>
      <rPr>
        <sz val="10"/>
        <rFont val="Arial MT"/>
        <family val="0"/>
      </rPr>
      <t xml:space="preserve">. Water Allowed (lbs.): </t>
    </r>
  </si>
  <si>
    <r>
      <t>Basic</t>
    </r>
    <r>
      <rPr>
        <sz val="10"/>
        <rFont val="Arial MT"/>
        <family val="0"/>
      </rPr>
      <t xml:space="preserve"> water req. (kgs.):</t>
    </r>
  </si>
  <si>
    <r>
      <t>Max</t>
    </r>
    <r>
      <rPr>
        <sz val="10"/>
        <rFont val="Arial MT"/>
        <family val="0"/>
      </rPr>
      <t xml:space="preserve">. Water Allowed (kgs.): </t>
    </r>
  </si>
  <si>
    <r>
      <t xml:space="preserve">Adjusted Wet Batch Weights - </t>
    </r>
    <r>
      <rPr>
        <b/>
        <sz val="8"/>
        <rFont val="Arial MT"/>
        <family val="0"/>
      </rPr>
      <t>INTERMEDIATE Aggregate</t>
    </r>
    <r>
      <rPr>
        <sz val="8"/>
        <rFont val="Arial MT"/>
        <family val="0"/>
      </rPr>
      <t xml:space="preserve">, % Moisture </t>
    </r>
  </si>
  <si>
    <t>DRY Batch Wts. (SSD) Per Cu. Yd.</t>
  </si>
  <si>
    <t>Iowa Department Of Transportation</t>
  </si>
  <si>
    <t>Office Of Materials</t>
  </si>
  <si>
    <t>PORTLAND CEMENT CONCRETE</t>
  </si>
  <si>
    <t xml:space="preserve">Project No.: </t>
  </si>
  <si>
    <t xml:space="preserve">County : </t>
  </si>
  <si>
    <t xml:space="preserve">Mix No.: </t>
  </si>
  <si>
    <t xml:space="preserve">Source: </t>
  </si>
  <si>
    <t xml:space="preserve">Sp. Gr.: </t>
  </si>
  <si>
    <t xml:space="preserve">              Total Cementitious</t>
  </si>
  <si>
    <t xml:space="preserve">Fine Aggregate Source: </t>
  </si>
  <si>
    <t xml:space="preserve">Interm. Aggregate Source: </t>
  </si>
  <si>
    <t xml:space="preserve">Coarse Agregate Source: </t>
  </si>
  <si>
    <t>Basic w/c</t>
  </si>
  <si>
    <t>Max w/c</t>
  </si>
  <si>
    <t>Absolute  Volumes</t>
  </si>
  <si>
    <t>.............................................</t>
  </si>
  <si>
    <t xml:space="preserve">                Slag</t>
  </si>
  <si>
    <t>Water</t>
  </si>
  <si>
    <t xml:space="preserve">= </t>
  </si>
  <si>
    <t>Air</t>
  </si>
  <si>
    <t>......................................................................................................................</t>
  </si>
  <si>
    <t>1.000 - Subtotal</t>
  </si>
  <si>
    <t xml:space="preserve">%  FA  Agg.: </t>
  </si>
  <si>
    <t>Fine  Aggregate ( 1.000 - Subtotal ) X % In Mix</t>
  </si>
  <si>
    <t xml:space="preserve">%  In.  Agg.: </t>
  </si>
  <si>
    <t>Interm.  Aggregate ( 1.000 - Subtotal ) X % In Mix</t>
  </si>
  <si>
    <t xml:space="preserve">%  CA  Agg.: </t>
  </si>
  <si>
    <t>Coarse  Aggregate ( 1.000 - Subtotal ) X % In Mix</t>
  </si>
  <si>
    <t>Aggregate  Total</t>
  </si>
  <si>
    <t>Aggregate  Weights</t>
  </si>
  <si>
    <t>Summary</t>
  </si>
  <si>
    <t xml:space="preserve">Cement </t>
  </si>
  <si>
    <t xml:space="preserve">Fly Ash </t>
  </si>
  <si>
    <t>Slag</t>
  </si>
  <si>
    <t xml:space="preserve">Water </t>
  </si>
  <si>
    <t xml:space="preserve">Fine Agg. </t>
  </si>
  <si>
    <t xml:space="preserve">Interm. Agg. </t>
  </si>
  <si>
    <t xml:space="preserve">Coarse Agg. </t>
  </si>
  <si>
    <t xml:space="preserve">County: </t>
  </si>
  <si>
    <t xml:space="preserve">Cement Source: </t>
  </si>
  <si>
    <t xml:space="preserve">Fly Ash Source: </t>
  </si>
  <si>
    <t xml:space="preserve">GGBFS Source: </t>
  </si>
  <si>
    <t xml:space="preserve">Fine Agg. Source: </t>
  </si>
  <si>
    <t xml:space="preserve">Intermediate Agg. Source: </t>
  </si>
  <si>
    <t xml:space="preserve">T-203 Coarse Agg. Specific Gravity: </t>
  </si>
  <si>
    <t xml:space="preserve">Coarse Agg. Source: </t>
  </si>
  <si>
    <t>w/c, enter if lower than basic w/c</t>
  </si>
  <si>
    <t>Water  (kgs/cm) = Design w/c ( mass cement + mass Fly Ash +Slag) =</t>
  </si>
  <si>
    <t>Max. Water  (kgs/cm) = Design w/c ( mass cement + mass Fly Ash +Slag) =</t>
  </si>
  <si>
    <t xml:space="preserve">      (kgs/cm) / ( Sp. Gr. X 1000)            =</t>
  </si>
  <si>
    <t>Fine Aggregate   ( abs vol.) X Sp. Gr. X 1000</t>
  </si>
  <si>
    <t>Intermediate Aggregate   ( abs vol.) X Sp. Gr. X 1000</t>
  </si>
  <si>
    <t>Coarse Aggregate  ( abs vol.) X Sp. Gr. X 1000</t>
  </si>
  <si>
    <t xml:space="preserve"> (kgs/cm)</t>
  </si>
  <si>
    <t xml:space="preserve">Form  E820150M </t>
  </si>
  <si>
    <t>O-4WR</t>
  </si>
  <si>
    <t xml:space="preserve">Fly Ash Type: </t>
  </si>
  <si>
    <t>IM T203</t>
  </si>
  <si>
    <t>HPC-D</t>
  </si>
  <si>
    <t>HPC-S</t>
  </si>
  <si>
    <t>C-V47BF</t>
  </si>
  <si>
    <t>I</t>
  </si>
  <si>
    <t>I/II</t>
  </si>
  <si>
    <t>Total (100%)</t>
  </si>
  <si>
    <t>HPC-O</t>
  </si>
  <si>
    <t>CV-HPC-D</t>
  </si>
  <si>
    <t>CV-HPC-S</t>
  </si>
  <si>
    <t>IP(25)</t>
  </si>
  <si>
    <t>IS(20)</t>
  </si>
  <si>
    <t>IS(25)</t>
  </si>
  <si>
    <t>A-L2</t>
  </si>
  <si>
    <t>A-L3</t>
  </si>
  <si>
    <t>A-L4</t>
  </si>
  <si>
    <t>A-L5</t>
  </si>
  <si>
    <t>B-L2</t>
  </si>
  <si>
    <t>B-L3</t>
  </si>
  <si>
    <t>B-L4</t>
  </si>
  <si>
    <t>B-L5</t>
  </si>
  <si>
    <t>C-L2</t>
  </si>
  <si>
    <t>C-L3</t>
  </si>
  <si>
    <t>C-L3WR</t>
  </si>
  <si>
    <t>C-L4</t>
  </si>
  <si>
    <t>C-L4WR</t>
  </si>
  <si>
    <t>C-L5</t>
  </si>
  <si>
    <t>C-L5WR</t>
  </si>
  <si>
    <t>FM</t>
  </si>
  <si>
    <t>X-2</t>
  </si>
  <si>
    <t>X-3</t>
  </si>
  <si>
    <t>X-4</t>
  </si>
  <si>
    <t xml:space="preserve">(kgs/cm) / ( Sp. Gr. X 1000)            =            </t>
  </si>
  <si>
    <t>(lbs/cy) / ( Sp. Gr. X 62.4 X 27)           =</t>
  </si>
  <si>
    <t>kgs</t>
  </si>
  <si>
    <t>lbs</t>
  </si>
  <si>
    <t>kgs/cm</t>
  </si>
  <si>
    <t>lbs/cy</t>
  </si>
  <si>
    <t>Abs Vol. X Sp. Gr. X 1000</t>
  </si>
  <si>
    <t>Abs Vol. X Sp. Gr. X 62.4 X 27</t>
  </si>
  <si>
    <t>M-V47B</t>
  </si>
  <si>
    <t>Total % Replacement =</t>
  </si>
  <si>
    <t xml:space="preserve">Type:  </t>
  </si>
  <si>
    <t>III</t>
  </si>
  <si>
    <t>Adjusted lbs. Cement:</t>
  </si>
  <si>
    <t>Abs Vol. Cement:</t>
  </si>
  <si>
    <t>%</t>
  </si>
  <si>
    <t xml:space="preserve">Cement (IM 401): </t>
  </si>
  <si>
    <t xml:space="preserve">Fly Ash (IM 491.17): </t>
  </si>
  <si>
    <t xml:space="preserve">Slag (IM 491.14): </t>
  </si>
  <si>
    <t>Rev 05/09</t>
  </si>
  <si>
    <t>Fly Ash (IM 491.17):</t>
  </si>
  <si>
    <t>Slag( IM 491.14 ):</t>
  </si>
  <si>
    <t>Adjusted kgs. Cement:</t>
  </si>
  <si>
    <t>Distribution:  ___  DME,  ___  Proj. Engr.,  ___  Contractor</t>
  </si>
  <si>
    <t>Distribution:   ___  DME,  ___  Proj. Engr.,  ___  Contractor</t>
  </si>
  <si>
    <t>M-5</t>
  </si>
  <si>
    <t>Concrete Pavement</t>
  </si>
  <si>
    <t>Structural Concrete</t>
  </si>
  <si>
    <t>Article</t>
  </si>
  <si>
    <t>Work Type</t>
  </si>
  <si>
    <t>Fly ash</t>
  </si>
  <si>
    <t>IP, IS</t>
  </si>
  <si>
    <t>Note</t>
  </si>
  <si>
    <t>Heating and protection required</t>
  </si>
  <si>
    <t>IP,IS</t>
  </si>
  <si>
    <t>Bridge Deck</t>
  </si>
  <si>
    <t>Oct 16-Mar 15 when maturity is used</t>
  </si>
  <si>
    <t>Oct 16-Mar 15</t>
  </si>
  <si>
    <t>Mar 16-Oct 15</t>
  </si>
  <si>
    <t>Class O Overlay</t>
  </si>
  <si>
    <t>HPC Deck Overlay</t>
  </si>
  <si>
    <t>Barrier Rail</t>
  </si>
  <si>
    <t>25% min. replacement ggbfs</t>
  </si>
  <si>
    <t>Date</t>
  </si>
  <si>
    <t>Comments</t>
  </si>
  <si>
    <t>Replacement allowed only if maturity is used</t>
  </si>
  <si>
    <t>Select Work Type, Date, and Cement Type</t>
  </si>
  <si>
    <t>IL(10)</t>
  </si>
  <si>
    <t>I, II, IL</t>
  </si>
  <si>
    <t>I,II,IL,IP,IS</t>
  </si>
  <si>
    <t>I, II, IL, IP, IS</t>
  </si>
  <si>
    <t>= Basic w/c X (Total Cementitious)           =</t>
  </si>
  <si>
    <t>Max. Water</t>
  </si>
  <si>
    <t>= Max w/c X (Total Cementitious)             =</t>
  </si>
  <si>
    <t>Rev 02/01</t>
  </si>
  <si>
    <t>E</t>
  </si>
  <si>
    <t>Fine:</t>
  </si>
  <si>
    <t>Intermediate:</t>
  </si>
  <si>
    <t>Coarse:</t>
  </si>
  <si>
    <t>M</t>
  </si>
  <si>
    <t>Form  E820150</t>
  </si>
  <si>
    <r>
      <t>English or Metric Report (</t>
    </r>
    <r>
      <rPr>
        <b/>
        <i/>
        <sz val="10"/>
        <color indexed="12"/>
        <rFont val="Arial MT"/>
        <family val="0"/>
      </rPr>
      <t>E or M</t>
    </r>
    <r>
      <rPr>
        <b/>
        <sz val="10"/>
        <rFont val="Arial MT"/>
        <family val="0"/>
      </rPr>
      <t xml:space="preserve">):  </t>
    </r>
  </si>
  <si>
    <t>C-SUD</t>
  </si>
  <si>
    <t>CV-SUD</t>
  </si>
  <si>
    <t>% Intermediate</t>
  </si>
  <si>
    <t>CDM</t>
  </si>
  <si>
    <t>GR</t>
  </si>
  <si>
    <t>SCC</t>
  </si>
  <si>
    <t>TBR</t>
  </si>
  <si>
    <t xml:space="preserve"> Mix Parameters for</t>
  </si>
  <si>
    <t>SCC or CDM</t>
  </si>
  <si>
    <t xml:space="preserve"> (Contractor Design)</t>
  </si>
  <si>
    <t>Mixes</t>
  </si>
  <si>
    <t>Abs. Vol. :</t>
  </si>
  <si>
    <t>Basic w/c :</t>
  </si>
  <si>
    <t>Max. w/c :</t>
  </si>
  <si>
    <t>Enter Agg. Percentages for</t>
  </si>
  <si>
    <t xml:space="preserve">BR, QMC, HPC-D, SCC, </t>
  </si>
  <si>
    <t>C-SUD, or CDM Mixes</t>
  </si>
  <si>
    <t>Normal</t>
  </si>
  <si>
    <t>MR</t>
  </si>
  <si>
    <t>HR</t>
  </si>
  <si>
    <t xml:space="preserve">Air Entrainment: </t>
  </si>
  <si>
    <t xml:space="preserve">Retarder: </t>
  </si>
  <si>
    <t>Update 2/10/17 tdh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</si>
</sst>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;;;"/>
    <numFmt numFmtId="167" formatCode="0.0_)"/>
    <numFmt numFmtId="168" formatCode="0.0%"/>
    <numFmt numFmtId="169" formatCode="mm/dd_)"/>
    <numFmt numFmtId="170" formatCode="0.00_)"/>
    <numFmt numFmtId="171" formatCode="0.000_)"/>
    <numFmt numFmtId="172" formatCode="#,##0.000_);\(#,##0.000\)"/>
    <numFmt numFmtId="173" formatCode="#,##0.0_);\(#,##0.0\)"/>
    <numFmt numFmtId="174" formatCode="0.0000_)"/>
    <numFmt numFmtId="175" formatCode="0.0"/>
    <numFmt numFmtId="176" formatCode="0.000"/>
    <numFmt numFmtId="177" formatCode="hh:mm_)"/>
    <numFmt numFmtId="178" formatCode="0.0000"/>
  </numFmts>
  <fonts count="7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sz val="10"/>
      <name val="Arial MT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"/>
      <family val="2"/>
    </font>
    <font>
      <sz val="8"/>
      <name val="Arial MT"/>
      <family val="2"/>
    </font>
    <font>
      <b/>
      <sz val="10"/>
      <name val="Arial MT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 MT"/>
      <family val="0"/>
    </font>
    <font>
      <b/>
      <i/>
      <sz val="10"/>
      <color indexed="10"/>
      <name val="Arial MT"/>
      <family val="0"/>
    </font>
    <font>
      <b/>
      <i/>
      <sz val="12"/>
      <color indexed="10"/>
      <name val="Arial MT"/>
      <family val="0"/>
    </font>
    <font>
      <b/>
      <i/>
      <sz val="10"/>
      <color indexed="12"/>
      <name val="Arial MT"/>
      <family val="0"/>
    </font>
    <font>
      <sz val="10"/>
      <color indexed="12"/>
      <name val="Arial MT"/>
      <family val="0"/>
    </font>
    <font>
      <b/>
      <sz val="14"/>
      <name val="Arial MT"/>
      <family val="0"/>
    </font>
    <font>
      <b/>
      <i/>
      <sz val="12"/>
      <name val="Arial MT"/>
      <family val="0"/>
    </font>
    <font>
      <b/>
      <sz val="8"/>
      <name val="Arial MT"/>
      <family val="0"/>
    </font>
    <font>
      <b/>
      <i/>
      <sz val="8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MT"/>
      <family val="0"/>
    </font>
    <font>
      <b/>
      <sz val="11"/>
      <name val="Arial MT"/>
      <family val="0"/>
    </font>
    <font>
      <sz val="12"/>
      <color indexed="10"/>
      <name val="Arial MT"/>
      <family val="0"/>
    </font>
    <font>
      <sz val="12"/>
      <name val="Arial"/>
      <family val="2"/>
    </font>
    <font>
      <sz val="9"/>
      <name val="Arial MT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MT"/>
      <family val="0"/>
    </font>
    <font>
      <b/>
      <sz val="12"/>
      <color indexed="12"/>
      <name val="Arial MT"/>
      <family val="0"/>
    </font>
    <font>
      <b/>
      <sz val="10"/>
      <color indexed="12"/>
      <name val="Arial MT"/>
      <family val="0"/>
    </font>
    <font>
      <b/>
      <i/>
      <sz val="10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MT"/>
      <family val="0"/>
    </font>
    <font>
      <b/>
      <sz val="12"/>
      <color rgb="FF0000FF"/>
      <name val="Arial MT"/>
      <family val="0"/>
    </font>
    <font>
      <b/>
      <sz val="10"/>
      <color rgb="FF0000FF"/>
      <name val="Arial MT"/>
      <family val="0"/>
    </font>
    <font>
      <b/>
      <i/>
      <sz val="10"/>
      <color theme="1"/>
      <name val="Arial MT"/>
      <family val="0"/>
    </font>
    <font>
      <sz val="10"/>
      <color rgb="FF0000FF"/>
      <name val="Arial MT"/>
      <family val="0"/>
    </font>
    <font>
      <b/>
      <i/>
      <sz val="10"/>
      <color rgb="FF0000FF"/>
      <name val="Arial MT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65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4">
    <xf numFmtId="165" fontId="0" fillId="0" borderId="0" xfId="0" applyAlignment="1">
      <alignment/>
    </xf>
    <xf numFmtId="165" fontId="2" fillId="0" borderId="0" xfId="0" applyFont="1" applyAlignment="1">
      <alignment horizontal="center"/>
    </xf>
    <xf numFmtId="165" fontId="1" fillId="0" borderId="0" xfId="0" applyFont="1" applyAlignment="1">
      <alignment horizontal="right"/>
    </xf>
    <xf numFmtId="165" fontId="1" fillId="33" borderId="10" xfId="0" applyFont="1" applyFill="1" applyBorder="1" applyAlignment="1">
      <alignment horizontal="center"/>
    </xf>
    <xf numFmtId="165" fontId="3" fillId="0" borderId="10" xfId="0" applyFont="1" applyBorder="1" applyAlignment="1">
      <alignment horizontal="center"/>
    </xf>
    <xf numFmtId="165" fontId="1" fillId="0" borderId="0" xfId="0" applyFont="1" applyAlignment="1">
      <alignment/>
    </xf>
    <xf numFmtId="165" fontId="6" fillId="0" borderId="0" xfId="0" applyFont="1" applyAlignment="1">
      <alignment/>
    </xf>
    <xf numFmtId="165" fontId="3" fillId="0" borderId="0" xfId="0" applyFont="1" applyAlignment="1">
      <alignment/>
    </xf>
    <xf numFmtId="165" fontId="1" fillId="0" borderId="0" xfId="0" applyFont="1" applyAlignment="1">
      <alignment horizontal="left"/>
    </xf>
    <xf numFmtId="165" fontId="1" fillId="0" borderId="10" xfId="0" applyFont="1" applyBorder="1" applyAlignment="1">
      <alignment horizontal="right"/>
    </xf>
    <xf numFmtId="165" fontId="8" fillId="0" borderId="0" xfId="0" applyFont="1" applyAlignment="1">
      <alignment/>
    </xf>
    <xf numFmtId="165" fontId="6" fillId="0" borderId="0" xfId="0" applyFont="1" applyAlignment="1">
      <alignment horizontal="centerContinuous"/>
    </xf>
    <xf numFmtId="165" fontId="7" fillId="0" borderId="0" xfId="0" applyFont="1" applyAlignment="1">
      <alignment horizontal="center"/>
    </xf>
    <xf numFmtId="171" fontId="3" fillId="0" borderId="0" xfId="0" applyNumberFormat="1" applyFont="1" applyAlignment="1" applyProtection="1">
      <alignment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Border="1" applyAlignment="1" applyProtection="1">
      <alignment horizontal="right"/>
      <protection/>
    </xf>
    <xf numFmtId="176" fontId="3" fillId="0" borderId="10" xfId="0" applyNumberFormat="1" applyFont="1" applyBorder="1" applyAlignment="1" applyProtection="1">
      <alignment/>
      <protection/>
    </xf>
    <xf numFmtId="176" fontId="1" fillId="0" borderId="10" xfId="0" applyNumberFormat="1" applyFont="1" applyBorder="1" applyAlignment="1" applyProtection="1">
      <alignment/>
      <protection/>
    </xf>
    <xf numFmtId="176" fontId="3" fillId="33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9" fillId="33" borderId="10" xfId="0" applyNumberFormat="1" applyFont="1" applyFill="1" applyBorder="1" applyAlignment="1">
      <alignment horizontal="center"/>
    </xf>
    <xf numFmtId="165" fontId="13" fillId="0" borderId="11" xfId="0" applyFont="1" applyBorder="1" applyAlignment="1">
      <alignment horizontal="center"/>
    </xf>
    <xf numFmtId="165" fontId="0" fillId="0" borderId="12" xfId="0" applyBorder="1" applyAlignment="1">
      <alignment/>
    </xf>
    <xf numFmtId="165" fontId="11" fillId="0" borderId="13" xfId="0" applyFont="1" applyBorder="1" applyAlignment="1">
      <alignment horizontal="right"/>
    </xf>
    <xf numFmtId="165" fontId="0" fillId="0" borderId="14" xfId="0" applyBorder="1" applyAlignment="1">
      <alignment/>
    </xf>
    <xf numFmtId="165" fontId="0" fillId="0" borderId="15" xfId="0" applyBorder="1" applyAlignment="1">
      <alignment/>
    </xf>
    <xf numFmtId="165" fontId="11" fillId="0" borderId="16" xfId="0" applyFont="1" applyBorder="1" applyAlignment="1">
      <alignment horizontal="right"/>
    </xf>
    <xf numFmtId="165" fontId="8" fillId="0" borderId="0" xfId="0" applyFont="1" applyAlignment="1">
      <alignment horizontal="right"/>
    </xf>
    <xf numFmtId="167" fontId="15" fillId="34" borderId="0" xfId="0" applyNumberFormat="1" applyFont="1" applyFill="1" applyBorder="1" applyAlignment="1" applyProtection="1">
      <alignment horizontal="center"/>
      <protection locked="0"/>
    </xf>
    <xf numFmtId="167" fontId="15" fillId="34" borderId="0" xfId="0" applyNumberFormat="1" applyFont="1" applyFill="1" applyBorder="1" applyAlignment="1" applyProtection="1">
      <alignment horizontal="center"/>
      <protection/>
    </xf>
    <xf numFmtId="165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6" fillId="0" borderId="0" xfId="0" applyFont="1" applyAlignment="1">
      <alignment horizontal="right"/>
    </xf>
    <xf numFmtId="176" fontId="1" fillId="0" borderId="10" xfId="0" applyNumberFormat="1" applyFont="1" applyBorder="1" applyAlignment="1">
      <alignment/>
    </xf>
    <xf numFmtId="165" fontId="3" fillId="0" borderId="0" xfId="0" applyFont="1" applyAlignment="1">
      <alignment horizontal="center"/>
    </xf>
    <xf numFmtId="165" fontId="3" fillId="0" borderId="0" xfId="0" applyFont="1" applyAlignment="1" applyProtection="1">
      <alignment horizontal="right"/>
      <protection/>
    </xf>
    <xf numFmtId="165" fontId="16" fillId="0" borderId="0" xfId="0" applyFont="1" applyAlignment="1" applyProtection="1">
      <alignment horizontal="center"/>
      <protection/>
    </xf>
    <xf numFmtId="165" fontId="16" fillId="0" borderId="0" xfId="0" applyFont="1" applyAlignment="1">
      <alignment horizontal="center"/>
    </xf>
    <xf numFmtId="165" fontId="2" fillId="0" borderId="0" xfId="0" applyFont="1" applyAlignment="1" applyProtection="1">
      <alignment horizontal="left"/>
      <protection/>
    </xf>
    <xf numFmtId="165" fontId="0" fillId="0" borderId="0" xfId="0" applyFont="1" applyAlignment="1">
      <alignment horizontal="left"/>
    </xf>
    <xf numFmtId="175" fontId="17" fillId="0" borderId="0" xfId="0" applyNumberFormat="1" applyFont="1" applyAlignment="1">
      <alignment/>
    </xf>
    <xf numFmtId="165" fontId="7" fillId="0" borderId="0" xfId="0" applyFont="1" applyAlignment="1">
      <alignment/>
    </xf>
    <xf numFmtId="175" fontId="19" fillId="0" borderId="0" xfId="0" applyNumberFormat="1" applyFont="1" applyAlignment="1">
      <alignment/>
    </xf>
    <xf numFmtId="165" fontId="3" fillId="0" borderId="0" xfId="0" applyFont="1" applyAlignment="1">
      <alignment/>
    </xf>
    <xf numFmtId="169" fontId="3" fillId="34" borderId="17" xfId="0" applyNumberFormat="1" applyFont="1" applyFill="1" applyBorder="1" applyAlignment="1" applyProtection="1">
      <alignment horizontal="right"/>
      <protection/>
    </xf>
    <xf numFmtId="37" fontId="3" fillId="34" borderId="17" xfId="0" applyNumberFormat="1" applyFont="1" applyFill="1" applyBorder="1" applyAlignment="1" applyProtection="1">
      <alignment horizontal="right"/>
      <protection/>
    </xf>
    <xf numFmtId="165" fontId="8" fillId="0" borderId="0" xfId="0" applyFont="1" applyAlignment="1" applyProtection="1">
      <alignment horizontal="right"/>
      <protection/>
    </xf>
    <xf numFmtId="165" fontId="3" fillId="35" borderId="17" xfId="0" applyFont="1" applyFill="1" applyBorder="1" applyAlignment="1">
      <alignment horizontal="right"/>
    </xf>
    <xf numFmtId="169" fontId="3" fillId="36" borderId="17" xfId="0" applyNumberFormat="1" applyFont="1" applyFill="1" applyBorder="1" applyAlignment="1" applyProtection="1">
      <alignment horizontal="right"/>
      <protection/>
    </xf>
    <xf numFmtId="37" fontId="3" fillId="36" borderId="17" xfId="0" applyNumberFormat="1" applyFont="1" applyFill="1" applyBorder="1" applyAlignment="1" applyProtection="1">
      <alignment horizontal="right"/>
      <protection/>
    </xf>
    <xf numFmtId="165" fontId="3" fillId="37" borderId="17" xfId="0" applyFont="1" applyFill="1" applyBorder="1" applyAlignment="1">
      <alignment/>
    </xf>
    <xf numFmtId="165" fontId="20" fillId="0" borderId="0" xfId="0" applyFont="1" applyAlignment="1">
      <alignment/>
    </xf>
    <xf numFmtId="175" fontId="19" fillId="0" borderId="18" xfId="0" applyNumberFormat="1" applyFont="1" applyBorder="1" applyAlignment="1">
      <alignment/>
    </xf>
    <xf numFmtId="165" fontId="19" fillId="0" borderId="18" xfId="0" applyFont="1" applyBorder="1" applyAlignment="1">
      <alignment/>
    </xf>
    <xf numFmtId="165" fontId="7" fillId="0" borderId="19" xfId="0" applyFont="1" applyBorder="1" applyAlignment="1">
      <alignment/>
    </xf>
    <xf numFmtId="165" fontId="7" fillId="0" borderId="20" xfId="0" applyFont="1" applyBorder="1" applyAlignment="1">
      <alignment/>
    </xf>
    <xf numFmtId="165" fontId="7" fillId="0" borderId="21" xfId="0" applyFont="1" applyBorder="1" applyAlignment="1">
      <alignment/>
    </xf>
    <xf numFmtId="165" fontId="21" fillId="0" borderId="0" xfId="0" applyFont="1" applyAlignment="1" applyProtection="1">
      <alignment/>
      <protection/>
    </xf>
    <xf numFmtId="165" fontId="6" fillId="0" borderId="0" xfId="0" applyFont="1" applyAlignment="1" applyProtection="1">
      <alignment horizontal="centerContinuous"/>
      <protection/>
    </xf>
    <xf numFmtId="165" fontId="1" fillId="0" borderId="0" xfId="0" applyFont="1" applyAlignment="1" applyProtection="1">
      <alignment/>
      <protection/>
    </xf>
    <xf numFmtId="165" fontId="1" fillId="0" borderId="0" xfId="0" applyFont="1" applyAlignment="1" applyProtection="1">
      <alignment horizontal="centerContinuous"/>
      <protection/>
    </xf>
    <xf numFmtId="165" fontId="21" fillId="0" borderId="0" xfId="0" applyFont="1" applyAlignment="1" applyProtection="1">
      <alignment horizontal="centerContinuous"/>
      <protection/>
    </xf>
    <xf numFmtId="165" fontId="6" fillId="0" borderId="0" xfId="0" applyFont="1" applyAlignment="1" applyProtection="1">
      <alignment/>
      <protection/>
    </xf>
    <xf numFmtId="165" fontId="6" fillId="0" borderId="0" xfId="0" applyFont="1" applyAlignment="1" applyProtection="1">
      <alignment horizontal="right"/>
      <protection/>
    </xf>
    <xf numFmtId="165" fontId="10" fillId="0" borderId="0" xfId="0" applyFont="1" applyAlignment="1" applyProtection="1">
      <alignment/>
      <protection/>
    </xf>
    <xf numFmtId="165" fontId="15" fillId="38" borderId="18" xfId="0" applyFont="1" applyFill="1" applyBorder="1" applyAlignment="1" applyProtection="1">
      <alignment horizontal="center"/>
      <protection locked="0"/>
    </xf>
    <xf numFmtId="170" fontId="15" fillId="38" borderId="18" xfId="0" applyNumberFormat="1" applyFont="1" applyFill="1" applyBorder="1" applyAlignment="1" applyProtection="1">
      <alignment horizontal="center"/>
      <protection locked="0"/>
    </xf>
    <xf numFmtId="165" fontId="15" fillId="38" borderId="18" xfId="0" applyNumberFormat="1" applyFont="1" applyFill="1" applyBorder="1" applyAlignment="1" applyProtection="1">
      <alignment horizontal="center"/>
      <protection locked="0"/>
    </xf>
    <xf numFmtId="165" fontId="8" fillId="0" borderId="0" xfId="0" applyFont="1" applyAlignment="1">
      <alignment/>
    </xf>
    <xf numFmtId="165" fontId="15" fillId="39" borderId="18" xfId="0" applyFont="1" applyFill="1" applyBorder="1" applyAlignment="1" applyProtection="1">
      <alignment/>
      <protection locked="0"/>
    </xf>
    <xf numFmtId="165" fontId="15" fillId="0" borderId="0" xfId="0" applyFont="1" applyAlignment="1" applyProtection="1">
      <alignment/>
      <protection locked="0"/>
    </xf>
    <xf numFmtId="165" fontId="15" fillId="39" borderId="18" xfId="0" applyFont="1" applyFill="1" applyBorder="1" applyAlignment="1" applyProtection="1">
      <alignment horizontal="center"/>
      <protection locked="0"/>
    </xf>
    <xf numFmtId="164" fontId="15" fillId="38" borderId="18" xfId="0" applyNumberFormat="1" applyFont="1" applyFill="1" applyBorder="1" applyAlignment="1" applyProtection="1">
      <alignment horizontal="center"/>
      <protection locked="0"/>
    </xf>
    <xf numFmtId="165" fontId="0" fillId="0" borderId="0" xfId="0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22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165" fontId="7" fillId="0" borderId="23" xfId="0" applyFont="1" applyBorder="1" applyAlignment="1">
      <alignment/>
    </xf>
    <xf numFmtId="165" fontId="7" fillId="0" borderId="11" xfId="0" applyFont="1" applyBorder="1" applyAlignment="1">
      <alignment/>
    </xf>
    <xf numFmtId="165" fontId="7" fillId="0" borderId="22" xfId="0" applyFont="1" applyBorder="1" applyAlignment="1">
      <alignment/>
    </xf>
    <xf numFmtId="170" fontId="15" fillId="0" borderId="18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right"/>
      <protection/>
    </xf>
    <xf numFmtId="165" fontId="22" fillId="0" borderId="25" xfId="0" applyFont="1" applyBorder="1" applyAlignment="1" applyProtection="1">
      <alignment/>
      <protection/>
    </xf>
    <xf numFmtId="165" fontId="23" fillId="0" borderId="25" xfId="0" applyFont="1" applyBorder="1" applyAlignment="1" applyProtection="1">
      <alignment/>
      <protection/>
    </xf>
    <xf numFmtId="165" fontId="22" fillId="0" borderId="0" xfId="0" applyFont="1" applyAlignment="1" applyProtection="1">
      <alignment horizontal="right"/>
      <protection/>
    </xf>
    <xf numFmtId="165" fontId="22" fillId="0" borderId="0" xfId="0" applyFont="1" applyAlignment="1" applyProtection="1">
      <alignment/>
      <protection/>
    </xf>
    <xf numFmtId="165" fontId="23" fillId="0" borderId="0" xfId="0" applyFont="1" applyAlignment="1" applyProtection="1">
      <alignment/>
      <protection/>
    </xf>
    <xf numFmtId="165" fontId="22" fillId="0" borderId="25" xfId="0" applyFont="1" applyBorder="1" applyAlignment="1" applyProtection="1">
      <alignment horizontal="center"/>
      <protection/>
    </xf>
    <xf numFmtId="165" fontId="22" fillId="0" borderId="0" xfId="0" applyFont="1" applyAlignment="1" applyProtection="1">
      <alignment horizontal="centerContinuous"/>
      <protection/>
    </xf>
    <xf numFmtId="165" fontId="23" fillId="0" borderId="0" xfId="0" applyFont="1" applyAlignment="1" applyProtection="1">
      <alignment horizontal="centerContinuous"/>
      <protection/>
    </xf>
    <xf numFmtId="1" fontId="22" fillId="0" borderId="25" xfId="0" applyNumberFormat="1" applyFont="1" applyBorder="1" applyAlignment="1" applyProtection="1">
      <alignment horizontal="center"/>
      <protection/>
    </xf>
    <xf numFmtId="165" fontId="24" fillId="0" borderId="0" xfId="0" applyFont="1" applyAlignment="1">
      <alignment/>
    </xf>
    <xf numFmtId="170" fontId="22" fillId="0" borderId="25" xfId="0" applyNumberFormat="1" applyFont="1" applyBorder="1" applyAlignment="1" applyProtection="1">
      <alignment horizontal="center"/>
      <protection/>
    </xf>
    <xf numFmtId="1" fontId="22" fillId="0" borderId="0" xfId="0" applyNumberFormat="1" applyFont="1" applyAlignment="1" applyProtection="1">
      <alignment/>
      <protection/>
    </xf>
    <xf numFmtId="1" fontId="22" fillId="0" borderId="0" xfId="0" applyNumberFormat="1" applyFont="1" applyBorder="1" applyAlignment="1" applyProtection="1">
      <alignment horizontal="center"/>
      <protection/>
    </xf>
    <xf numFmtId="165" fontId="22" fillId="0" borderId="0" xfId="0" applyFont="1" applyBorder="1" applyAlignment="1" applyProtection="1">
      <alignment/>
      <protection/>
    </xf>
    <xf numFmtId="170" fontId="22" fillId="0" borderId="0" xfId="0" applyNumberFormat="1" applyFont="1" applyBorder="1" applyAlignment="1" applyProtection="1">
      <alignment horizontal="center"/>
      <protection/>
    </xf>
    <xf numFmtId="165" fontId="23" fillId="0" borderId="0" xfId="0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/>
      <protection/>
    </xf>
    <xf numFmtId="165" fontId="25" fillId="0" borderId="25" xfId="0" applyFont="1" applyBorder="1" applyAlignment="1">
      <alignment/>
    </xf>
    <xf numFmtId="165" fontId="24" fillId="0" borderId="25" xfId="0" applyFont="1" applyBorder="1" applyAlignment="1">
      <alignment/>
    </xf>
    <xf numFmtId="165" fontId="25" fillId="0" borderId="26" xfId="0" applyFont="1" applyBorder="1" applyAlignment="1">
      <alignment/>
    </xf>
    <xf numFmtId="165" fontId="24" fillId="0" borderId="26" xfId="0" applyFont="1" applyBorder="1" applyAlignment="1">
      <alignment/>
    </xf>
    <xf numFmtId="176" fontId="22" fillId="0" borderId="25" xfId="0" applyNumberFormat="1" applyFont="1" applyBorder="1" applyAlignment="1" applyProtection="1">
      <alignment horizontal="center"/>
      <protection/>
    </xf>
    <xf numFmtId="171" fontId="22" fillId="0" borderId="25" xfId="0" applyNumberFormat="1" applyFont="1" applyBorder="1" applyAlignment="1" applyProtection="1">
      <alignment horizontal="right"/>
      <protection/>
    </xf>
    <xf numFmtId="165" fontId="24" fillId="0" borderId="0" xfId="0" applyFont="1" applyAlignment="1" applyProtection="1">
      <alignment/>
      <protection/>
    </xf>
    <xf numFmtId="171" fontId="22" fillId="0" borderId="0" xfId="0" applyNumberFormat="1" applyFont="1" applyAlignment="1" applyProtection="1">
      <alignment/>
      <protection/>
    </xf>
    <xf numFmtId="165" fontId="22" fillId="0" borderId="25" xfId="0" applyNumberFormat="1" applyFont="1" applyBorder="1" applyAlignment="1" applyProtection="1">
      <alignment horizontal="center"/>
      <protection/>
    </xf>
    <xf numFmtId="1" fontId="22" fillId="0" borderId="25" xfId="0" applyNumberFormat="1" applyFont="1" applyBorder="1" applyAlignment="1" applyProtection="1">
      <alignment horizontal="right"/>
      <protection/>
    </xf>
    <xf numFmtId="1" fontId="22" fillId="0" borderId="25" xfId="0" applyNumberFormat="1" applyFont="1" applyBorder="1" applyAlignment="1" applyProtection="1">
      <alignment/>
      <protection/>
    </xf>
    <xf numFmtId="165" fontId="25" fillId="0" borderId="0" xfId="0" applyFont="1" applyAlignment="1">
      <alignment/>
    </xf>
    <xf numFmtId="165" fontId="25" fillId="0" borderId="0" xfId="0" applyFont="1" applyAlignment="1" applyProtection="1">
      <alignment/>
      <protection/>
    </xf>
    <xf numFmtId="49" fontId="3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right"/>
    </xf>
    <xf numFmtId="165" fontId="14" fillId="0" borderId="28" xfId="0" applyFont="1" applyBorder="1" applyAlignment="1">
      <alignment horizontal="right"/>
    </xf>
    <xf numFmtId="49" fontId="3" fillId="0" borderId="0" xfId="57" applyNumberFormat="1" applyFont="1">
      <alignment/>
      <protection/>
    </xf>
    <xf numFmtId="171" fontId="3" fillId="0" borderId="0" xfId="57" applyNumberFormat="1" applyFont="1" applyProtection="1">
      <alignment/>
      <protection/>
    </xf>
    <xf numFmtId="165" fontId="3" fillId="0" borderId="0" xfId="57" applyFont="1">
      <alignment/>
      <protection/>
    </xf>
    <xf numFmtId="170" fontId="1" fillId="0" borderId="0" xfId="0" applyNumberFormat="1" applyFont="1" applyAlignment="1">
      <alignment/>
    </xf>
    <xf numFmtId="165" fontId="22" fillId="0" borderId="0" xfId="0" applyFont="1" applyAlignment="1" applyProtection="1">
      <alignment horizontal="left"/>
      <protection/>
    </xf>
    <xf numFmtId="165" fontId="22" fillId="0" borderId="29" xfId="0" applyFont="1" applyBorder="1" applyAlignment="1" applyProtection="1">
      <alignment/>
      <protection/>
    </xf>
    <xf numFmtId="165" fontId="22" fillId="0" borderId="0" xfId="0" applyFont="1" applyAlignment="1" applyProtection="1">
      <alignment horizontal="center"/>
      <protection/>
    </xf>
    <xf numFmtId="1" fontId="22" fillId="0" borderId="30" xfId="0" applyNumberFormat="1" applyFont="1" applyBorder="1" applyAlignment="1" applyProtection="1">
      <alignment horizontal="center"/>
      <protection/>
    </xf>
    <xf numFmtId="165" fontId="2" fillId="0" borderId="0" xfId="0" applyFont="1" applyAlignment="1">
      <alignment horizontal="right"/>
    </xf>
    <xf numFmtId="171" fontId="2" fillId="0" borderId="29" xfId="0" applyNumberFormat="1" applyFont="1" applyBorder="1" applyAlignment="1">
      <alignment/>
    </xf>
    <xf numFmtId="1" fontId="22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65" fontId="2" fillId="0" borderId="0" xfId="0" applyFont="1" applyAlignment="1">
      <alignment/>
    </xf>
    <xf numFmtId="165" fontId="0" fillId="40" borderId="18" xfId="0" applyFill="1" applyBorder="1" applyAlignment="1">
      <alignment/>
    </xf>
    <xf numFmtId="165" fontId="0" fillId="40" borderId="18" xfId="0" applyFill="1" applyBorder="1" applyAlignment="1">
      <alignment horizontal="center"/>
    </xf>
    <xf numFmtId="165" fontId="0" fillId="40" borderId="22" xfId="0" applyFill="1" applyBorder="1" applyAlignment="1">
      <alignment/>
    </xf>
    <xf numFmtId="165" fontId="0" fillId="40" borderId="22" xfId="0" applyFill="1" applyBorder="1" applyAlignment="1">
      <alignment horizontal="center"/>
    </xf>
    <xf numFmtId="165" fontId="0" fillId="41" borderId="22" xfId="0" applyFill="1" applyBorder="1" applyAlignment="1">
      <alignment/>
    </xf>
    <xf numFmtId="165" fontId="0" fillId="41" borderId="22" xfId="0" applyFill="1" applyBorder="1" applyAlignment="1">
      <alignment horizontal="center"/>
    </xf>
    <xf numFmtId="165" fontId="0" fillId="41" borderId="18" xfId="0" applyFill="1" applyBorder="1" applyAlignment="1" applyProtection="1">
      <alignment/>
      <protection locked="0"/>
    </xf>
    <xf numFmtId="165" fontId="0" fillId="41" borderId="18" xfId="0" applyFill="1" applyBorder="1" applyAlignment="1" applyProtection="1">
      <alignment horizontal="center"/>
      <protection locked="0"/>
    </xf>
    <xf numFmtId="165" fontId="27" fillId="0" borderId="0" xfId="0" applyFont="1" applyAlignment="1">
      <alignment horizontal="center"/>
    </xf>
    <xf numFmtId="165" fontId="11" fillId="0" borderId="0" xfId="0" applyFont="1" applyAlignment="1">
      <alignment/>
    </xf>
    <xf numFmtId="165" fontId="22" fillId="0" borderId="0" xfId="0" applyFont="1" applyAlignment="1" applyProtection="1" quotePrefix="1">
      <alignment horizontal="center"/>
      <protection/>
    </xf>
    <xf numFmtId="165" fontId="22" fillId="0" borderId="0" xfId="0" applyFont="1" applyAlignment="1" applyProtection="1" quotePrefix="1">
      <alignment horizontal="left"/>
      <protection/>
    </xf>
    <xf numFmtId="165" fontId="0" fillId="0" borderId="0" xfId="0" applyBorder="1" applyAlignment="1">
      <alignment/>
    </xf>
    <xf numFmtId="165" fontId="68" fillId="0" borderId="0" xfId="0" applyFont="1" applyBorder="1" applyAlignment="1">
      <alignment horizontal="center"/>
    </xf>
    <xf numFmtId="165" fontId="2" fillId="0" borderId="0" xfId="0" applyFont="1" applyAlignment="1">
      <alignment horizontal="left"/>
    </xf>
    <xf numFmtId="165" fontId="1" fillId="0" borderId="0" xfId="0" applyFont="1" applyAlignment="1" applyProtection="1" quotePrefix="1">
      <alignment horizontal="right"/>
      <protection/>
    </xf>
    <xf numFmtId="165" fontId="69" fillId="6" borderId="31" xfId="0" applyFont="1" applyFill="1" applyBorder="1" applyAlignment="1" applyProtection="1">
      <alignment horizontal="center"/>
      <protection locked="0"/>
    </xf>
    <xf numFmtId="165" fontId="70" fillId="4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 applyProtection="1">
      <alignment/>
      <protection/>
    </xf>
    <xf numFmtId="171" fontId="3" fillId="42" borderId="0" xfId="0" applyNumberFormat="1" applyFont="1" applyFill="1" applyAlignment="1" applyProtection="1">
      <alignment/>
      <protection/>
    </xf>
    <xf numFmtId="171" fontId="70" fillId="40" borderId="0" xfId="0" applyNumberFormat="1" applyFont="1" applyFill="1" applyAlignment="1" applyProtection="1">
      <alignment/>
      <protection/>
    </xf>
    <xf numFmtId="171" fontId="70" fillId="40" borderId="0" xfId="57" applyNumberFormat="1" applyFont="1" applyFill="1" applyProtection="1">
      <alignment/>
      <protection/>
    </xf>
    <xf numFmtId="171" fontId="3" fillId="0" borderId="0" xfId="0" applyNumberFormat="1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/>
    </xf>
    <xf numFmtId="165" fontId="11" fillId="0" borderId="0" xfId="0" applyFont="1" applyBorder="1" applyAlignment="1">
      <alignment horizontal="right"/>
    </xf>
    <xf numFmtId="165" fontId="14" fillId="0" borderId="0" xfId="0" applyFont="1" applyBorder="1" applyAlignment="1">
      <alignment horizontal="right"/>
    </xf>
    <xf numFmtId="165" fontId="13" fillId="0" borderId="0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26" fillId="0" borderId="0" xfId="0" applyFont="1" applyBorder="1" applyAlignment="1">
      <alignment wrapText="1"/>
    </xf>
    <xf numFmtId="165" fontId="0" fillId="0" borderId="0" xfId="0" applyBorder="1" applyAlignment="1" applyProtection="1">
      <alignment horizontal="center"/>
      <protection locked="0"/>
    </xf>
    <xf numFmtId="165" fontId="11" fillId="0" borderId="14" xfId="0" applyFont="1" applyBorder="1" applyAlignment="1">
      <alignment horizontal="right"/>
    </xf>
    <xf numFmtId="176" fontId="13" fillId="0" borderId="15" xfId="0" applyNumberFormat="1" applyFont="1" applyBorder="1" applyAlignment="1" applyProtection="1">
      <alignment horizontal="center"/>
      <protection locked="0"/>
    </xf>
    <xf numFmtId="176" fontId="71" fillId="0" borderId="16" xfId="0" applyNumberFormat="1" applyFont="1" applyBorder="1" applyAlignment="1" applyProtection="1">
      <alignment horizontal="center"/>
      <protection locked="0"/>
    </xf>
    <xf numFmtId="165" fontId="28" fillId="0" borderId="14" xfId="0" applyFont="1" applyBorder="1" applyAlignment="1">
      <alignment horizontal="right"/>
    </xf>
    <xf numFmtId="176" fontId="72" fillId="43" borderId="32" xfId="0" applyNumberFormat="1" applyFont="1" applyFill="1" applyBorder="1" applyAlignment="1" applyProtection="1">
      <alignment horizontal="center"/>
      <protection locked="0"/>
    </xf>
    <xf numFmtId="165" fontId="3" fillId="0" borderId="14" xfId="0" applyFont="1" applyBorder="1" applyAlignment="1">
      <alignment horizontal="right"/>
    </xf>
    <xf numFmtId="176" fontId="72" fillId="43" borderId="33" xfId="0" applyNumberFormat="1" applyFont="1" applyFill="1" applyBorder="1" applyAlignment="1" applyProtection="1">
      <alignment horizontal="center"/>
      <protection locked="0"/>
    </xf>
    <xf numFmtId="165" fontId="3" fillId="0" borderId="15" xfId="0" applyFont="1" applyBorder="1" applyAlignment="1">
      <alignment horizontal="right"/>
    </xf>
    <xf numFmtId="176" fontId="72" fillId="43" borderId="34" xfId="0" applyNumberFormat="1" applyFont="1" applyFill="1" applyBorder="1" applyAlignment="1" applyProtection="1">
      <alignment horizontal="center"/>
      <protection locked="0"/>
    </xf>
    <xf numFmtId="165" fontId="11" fillId="0" borderId="35" xfId="0" applyFont="1" applyBorder="1" applyAlignment="1">
      <alignment horizontal="right"/>
    </xf>
    <xf numFmtId="165" fontId="14" fillId="0" borderId="35" xfId="0" applyFont="1" applyBorder="1" applyAlignment="1">
      <alignment horizontal="right"/>
    </xf>
    <xf numFmtId="167" fontId="15" fillId="0" borderId="0" xfId="0" applyNumberFormat="1" applyFont="1" applyFill="1" applyBorder="1" applyAlignment="1" applyProtection="1">
      <alignment horizontal="center"/>
      <protection locked="0"/>
    </xf>
    <xf numFmtId="167" fontId="15" fillId="0" borderId="0" xfId="0" applyNumberFormat="1" applyFont="1" applyFill="1" applyBorder="1" applyAlignment="1" applyProtection="1">
      <alignment horizontal="center"/>
      <protection/>
    </xf>
    <xf numFmtId="165" fontId="73" fillId="0" borderId="28" xfId="0" applyFont="1" applyBorder="1" applyAlignment="1">
      <alignment horizontal="right"/>
    </xf>
    <xf numFmtId="165" fontId="0" fillId="0" borderId="0" xfId="0" applyBorder="1" applyAlignment="1">
      <alignment wrapText="1"/>
    </xf>
    <xf numFmtId="165" fontId="12" fillId="0" borderId="0" xfId="0" applyFont="1" applyBorder="1" applyAlignment="1">
      <alignment/>
    </xf>
    <xf numFmtId="165" fontId="26" fillId="0" borderId="0" xfId="0" applyFont="1" applyBorder="1" applyAlignment="1">
      <alignment/>
    </xf>
    <xf numFmtId="167" fontId="15" fillId="34" borderId="36" xfId="0" applyNumberFormat="1" applyFont="1" applyFill="1" applyBorder="1" applyAlignment="1" applyProtection="1">
      <alignment horizontal="center"/>
      <protection/>
    </xf>
    <xf numFmtId="165" fontId="0" fillId="0" borderId="0" xfId="0" applyAlignment="1">
      <alignment horizontal="left"/>
    </xf>
    <xf numFmtId="0" fontId="8" fillId="0" borderId="23" xfId="0" applyNumberFormat="1" applyFont="1" applyBorder="1" applyAlignment="1">
      <alignment horizontal="right"/>
    </xf>
    <xf numFmtId="165" fontId="29" fillId="0" borderId="0" xfId="0" applyFont="1" applyBorder="1" applyAlignment="1" applyProtection="1">
      <alignment horizontal="left"/>
      <protection/>
    </xf>
    <xf numFmtId="165" fontId="22" fillId="0" borderId="0" xfId="0" applyFont="1" applyBorder="1" applyAlignment="1" applyProtection="1">
      <alignment horizontal="right"/>
      <protection/>
    </xf>
    <xf numFmtId="165" fontId="24" fillId="0" borderId="0" xfId="0" applyFont="1" applyBorder="1" applyAlignment="1" applyProtection="1">
      <alignment/>
      <protection/>
    </xf>
    <xf numFmtId="165" fontId="3" fillId="44" borderId="18" xfId="0" applyFont="1" applyFill="1" applyBorder="1" applyAlignment="1" applyProtection="1">
      <alignment horizontal="left"/>
      <protection locked="0"/>
    </xf>
    <xf numFmtId="165" fontId="3" fillId="44" borderId="37" xfId="0" applyFont="1" applyFill="1" applyBorder="1" applyAlignment="1" applyProtection="1">
      <alignment horizontal="left"/>
      <protection locked="0"/>
    </xf>
    <xf numFmtId="165" fontId="0" fillId="44" borderId="18" xfId="0" applyFill="1" applyBorder="1" applyAlignment="1" applyProtection="1">
      <alignment/>
      <protection locked="0"/>
    </xf>
    <xf numFmtId="165" fontId="18" fillId="0" borderId="0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22" fillId="0" borderId="26" xfId="0" applyFont="1" applyBorder="1" applyAlignment="1" applyProtection="1">
      <alignment/>
      <protection/>
    </xf>
    <xf numFmtId="165" fontId="25" fillId="0" borderId="26" xfId="0" applyFont="1" applyBorder="1" applyAlignment="1">
      <alignment/>
    </xf>
    <xf numFmtId="165" fontId="22" fillId="0" borderId="25" xfId="0" applyFont="1" applyBorder="1" applyAlignment="1" applyProtection="1">
      <alignment/>
      <protection/>
    </xf>
    <xf numFmtId="165" fontId="25" fillId="0" borderId="25" xfId="0" applyFont="1" applyBorder="1" applyAlignment="1">
      <alignment/>
    </xf>
    <xf numFmtId="165" fontId="22" fillId="0" borderId="0" xfId="0" applyFont="1" applyAlignment="1" applyProtection="1">
      <alignment horizontal="center"/>
      <protection/>
    </xf>
    <xf numFmtId="165" fontId="0" fillId="0" borderId="0" xfId="0" applyAlignment="1">
      <alignment/>
    </xf>
    <xf numFmtId="169" fontId="3" fillId="34" borderId="38" xfId="0" applyNumberFormat="1" applyFont="1" applyFill="1" applyBorder="1" applyAlignment="1" applyProtection="1">
      <alignment horizontal="left"/>
      <protection/>
    </xf>
    <xf numFmtId="169" fontId="3" fillId="36" borderId="38" xfId="0" applyNumberFormat="1" applyFont="1" applyFill="1" applyBorder="1" applyAlignment="1" applyProtection="1">
      <alignment horizontal="left"/>
      <protection/>
    </xf>
    <xf numFmtId="169" fontId="3" fillId="36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5" zoomScaleNormal="80" zoomScaleSheetLayoutView="85" zoomScalePageLayoutView="0" workbookViewId="0" topLeftCell="A1">
      <selection activeCell="L2" sqref="L2"/>
    </sheetView>
  </sheetViews>
  <sheetFormatPr defaultColWidth="8.88671875" defaultRowHeight="15"/>
  <cols>
    <col min="1" max="1" width="27.5546875" style="83" customWidth="1"/>
    <col min="2" max="2" width="17.10546875" style="77" customWidth="1"/>
    <col min="3" max="3" width="7.88671875" style="0" customWidth="1"/>
    <col min="4" max="4" width="2.3359375" style="0" customWidth="1"/>
    <col min="5" max="5" width="11.6640625" style="0" customWidth="1"/>
    <col min="6" max="6" width="9.4453125" style="0" customWidth="1"/>
    <col min="7" max="7" width="4.77734375" style="0" customWidth="1"/>
    <col min="8" max="9" width="9.4453125" style="0" customWidth="1"/>
    <col min="10" max="10" width="9.4453125" style="0" hidden="1" customWidth="1"/>
    <col min="11" max="11" width="8.88671875" style="0" hidden="1" customWidth="1"/>
    <col min="13" max="13" width="12.6640625" style="0" customWidth="1"/>
  </cols>
  <sheetData>
    <row r="1" spans="1:12" ht="15.75" thickTop="1">
      <c r="A1" s="78" t="s">
        <v>151</v>
      </c>
      <c r="B1" s="75"/>
      <c r="E1" s="26"/>
      <c r="F1" s="27" t="s">
        <v>277</v>
      </c>
      <c r="G1" s="176"/>
      <c r="H1" s="26"/>
      <c r="I1" s="27" t="s">
        <v>270</v>
      </c>
      <c r="J1" s="161"/>
      <c r="L1" s="145" t="s">
        <v>285</v>
      </c>
    </row>
    <row r="2" spans="1:10" ht="15">
      <c r="A2" s="78" t="s">
        <v>116</v>
      </c>
      <c r="B2" s="73"/>
      <c r="E2" s="28"/>
      <c r="F2" s="180" t="s">
        <v>278</v>
      </c>
      <c r="G2" s="176"/>
      <c r="H2" s="28"/>
      <c r="I2" s="122" t="s">
        <v>271</v>
      </c>
      <c r="J2" s="161"/>
    </row>
    <row r="3" spans="1:10" ht="15">
      <c r="A3" s="78" t="s">
        <v>9</v>
      </c>
      <c r="B3" s="69" t="s">
        <v>268</v>
      </c>
      <c r="E3" s="28"/>
      <c r="F3" s="122" t="s">
        <v>279</v>
      </c>
      <c r="G3" s="177"/>
      <c r="H3" s="167"/>
      <c r="I3" s="122" t="s">
        <v>272</v>
      </c>
      <c r="J3" s="162"/>
    </row>
    <row r="4" spans="1:10" ht="15.75" thickBot="1">
      <c r="A4" s="78" t="s">
        <v>10</v>
      </c>
      <c r="B4" s="76"/>
      <c r="E4" s="29"/>
      <c r="F4" s="30" t="s">
        <v>92</v>
      </c>
      <c r="G4" s="176"/>
      <c r="H4" s="168"/>
      <c r="I4" s="169" t="s">
        <v>273</v>
      </c>
      <c r="J4" s="161"/>
    </row>
    <row r="5" spans="1:12" ht="15.75" thickTop="1">
      <c r="A5" s="79" t="s">
        <v>152</v>
      </c>
      <c r="B5" s="75"/>
      <c r="F5" s="25" t="str">
        <f>IF(B3="CDM","ENTER",IF(B3="C-SUD","ENTER",IF(B3="SCC","ENTER",IF(B3="BR","ENTER",IF(B3="QMC","ENTER",IF(B3="HPC-D","ENTER",""))))))</f>
        <v>ENTER</v>
      </c>
      <c r="G5" s="163"/>
      <c r="H5" s="170" t="s">
        <v>274</v>
      </c>
      <c r="I5" s="171">
        <v>0.133</v>
      </c>
      <c r="J5" s="163"/>
      <c r="K5" t="s">
        <v>174</v>
      </c>
      <c r="L5" s="77"/>
    </row>
    <row r="6" spans="1:12" ht="15">
      <c r="A6" s="80" t="s">
        <v>0</v>
      </c>
      <c r="B6" s="69"/>
      <c r="E6" s="31" t="s">
        <v>47</v>
      </c>
      <c r="F6" s="32">
        <v>50</v>
      </c>
      <c r="G6" s="178"/>
      <c r="H6" s="172" t="s">
        <v>275</v>
      </c>
      <c r="I6" s="173">
        <v>0.4</v>
      </c>
      <c r="J6" s="32"/>
      <c r="K6" t="s">
        <v>175</v>
      </c>
      <c r="L6" s="77"/>
    </row>
    <row r="7" spans="1:12" ht="15.75" thickBot="1">
      <c r="A7" s="81" t="s">
        <v>1</v>
      </c>
      <c r="B7" s="70">
        <v>3.14</v>
      </c>
      <c r="E7" s="31" t="s">
        <v>91</v>
      </c>
      <c r="F7" s="32"/>
      <c r="G7" s="178"/>
      <c r="H7" s="174" t="s">
        <v>276</v>
      </c>
      <c r="I7" s="175">
        <v>0.45</v>
      </c>
      <c r="J7" s="32"/>
      <c r="K7" t="s">
        <v>213</v>
      </c>
      <c r="L7" s="77"/>
    </row>
    <row r="8" spans="1:12" ht="15.75" thickTop="1">
      <c r="A8" s="121" t="s">
        <v>153</v>
      </c>
      <c r="B8" s="75"/>
      <c r="E8" s="31" t="s">
        <v>46</v>
      </c>
      <c r="F8" s="32">
        <v>50</v>
      </c>
      <c r="G8" s="178"/>
      <c r="H8" s="178"/>
      <c r="I8" s="178"/>
      <c r="J8" s="32"/>
      <c r="K8" t="s">
        <v>248</v>
      </c>
      <c r="L8" s="77"/>
    </row>
    <row r="9" spans="1:11" ht="15">
      <c r="A9" s="120" t="s">
        <v>169</v>
      </c>
      <c r="B9" s="75"/>
      <c r="E9" s="31" t="s">
        <v>176</v>
      </c>
      <c r="F9" s="184">
        <f>IF(F6="","",(F6+F7+F8))</f>
        <v>100</v>
      </c>
      <c r="G9" s="179"/>
      <c r="H9" s="179"/>
      <c r="I9" s="179"/>
      <c r="J9" s="33"/>
      <c r="K9" t="s">
        <v>180</v>
      </c>
    </row>
    <row r="10" spans="1:11" ht="15">
      <c r="A10" s="82" t="s">
        <v>11</v>
      </c>
      <c r="B10" s="69"/>
      <c r="K10" t="s">
        <v>181</v>
      </c>
    </row>
    <row r="11" spans="1:11" ht="15">
      <c r="A11" s="82" t="s">
        <v>2</v>
      </c>
      <c r="B11" s="70"/>
      <c r="E11" s="193"/>
      <c r="F11" s="194"/>
      <c r="G11" s="164"/>
      <c r="H11" s="164"/>
      <c r="I11" s="164"/>
      <c r="J11" s="164"/>
      <c r="K11" t="s">
        <v>182</v>
      </c>
    </row>
    <row r="12" spans="1:10" ht="15">
      <c r="A12" s="79" t="s">
        <v>154</v>
      </c>
      <c r="B12" s="75"/>
      <c r="E12" s="182"/>
      <c r="F12" s="183"/>
      <c r="G12" s="165"/>
      <c r="H12" s="165"/>
      <c r="I12" s="165"/>
      <c r="J12" s="165"/>
    </row>
    <row r="13" spans="1:10" ht="15">
      <c r="A13" s="80" t="s">
        <v>80</v>
      </c>
      <c r="B13" s="71"/>
      <c r="E13" s="183"/>
      <c r="F13" s="183"/>
      <c r="G13" s="165"/>
      <c r="H13" s="165"/>
      <c r="I13" s="165"/>
      <c r="J13" s="165"/>
    </row>
    <row r="14" spans="1:10" ht="15">
      <c r="A14" s="81" t="s">
        <v>8</v>
      </c>
      <c r="B14" s="70"/>
      <c r="E14" s="181"/>
      <c r="F14" s="166"/>
      <c r="G14" s="166"/>
      <c r="H14" s="166"/>
      <c r="I14" s="166"/>
      <c r="J14" s="166"/>
    </row>
    <row r="15" spans="1:2" ht="15">
      <c r="A15" s="79" t="s">
        <v>155</v>
      </c>
      <c r="B15" s="75"/>
    </row>
    <row r="16" spans="1:2" ht="15">
      <c r="A16" s="81" t="s">
        <v>12</v>
      </c>
      <c r="B16" s="70">
        <v>2.65</v>
      </c>
    </row>
    <row r="17" spans="1:5" ht="15">
      <c r="A17" s="79" t="s">
        <v>156</v>
      </c>
      <c r="B17" s="75"/>
      <c r="E17" s="47"/>
    </row>
    <row r="18" spans="1:2" ht="15">
      <c r="A18" s="81" t="s">
        <v>81</v>
      </c>
      <c r="B18" s="70"/>
    </row>
    <row r="19" spans="1:2" ht="15">
      <c r="A19" s="79" t="s">
        <v>158</v>
      </c>
      <c r="B19" s="75"/>
    </row>
    <row r="20" spans="1:2" ht="15">
      <c r="A20" s="81" t="s">
        <v>157</v>
      </c>
      <c r="B20" s="70">
        <v>2.65</v>
      </c>
    </row>
    <row r="21" ht="15.75" hidden="1">
      <c r="B21" s="38" t="str">
        <f>IF(B3="","",IF(B3="HPC-D",B3,IF(B3="HPC-S",B3,IF(B3="QMC",B3,IF(AND(B10="",B13=""),B3,IF(B13="",CONCATENATE(B3,"-",B9,B10),CONCATENATE(B3,"-",B9,B10,"-S",B13)))))))</f>
        <v>SCC</v>
      </c>
    </row>
    <row r="22" spans="1:2" ht="15">
      <c r="A22" s="79" t="s">
        <v>283</v>
      </c>
      <c r="B22" s="190"/>
    </row>
    <row r="23" spans="1:12" ht="15">
      <c r="A23" s="186" t="str">
        <f>CONCATENATE("Water Reducer (",C23,"): ")</f>
        <v>Water Reducer (Normal): </v>
      </c>
      <c r="B23" s="191"/>
      <c r="C23" s="192" t="s">
        <v>280</v>
      </c>
      <c r="L23" t="s">
        <v>280</v>
      </c>
    </row>
    <row r="24" spans="1:12" ht="15">
      <c r="A24" s="81" t="s">
        <v>284</v>
      </c>
      <c r="B24" s="190"/>
      <c r="L24" t="s">
        <v>281</v>
      </c>
    </row>
    <row r="25" spans="1:12" ht="15">
      <c r="A25" s="78" t="s">
        <v>159</v>
      </c>
      <c r="B25" s="87"/>
      <c r="L25" t="s">
        <v>282</v>
      </c>
    </row>
    <row r="26" ht="15.75" thickBot="1">
      <c r="A26" s="78"/>
    </row>
    <row r="27" spans="1:11" ht="16.5" thickBot="1">
      <c r="A27" s="78" t="s">
        <v>262</v>
      </c>
      <c r="B27" s="152" t="s">
        <v>256</v>
      </c>
      <c r="K27" t="s">
        <v>256</v>
      </c>
    </row>
    <row r="28" spans="1:11" ht="15">
      <c r="A28" s="78"/>
      <c r="K28" t="s">
        <v>260</v>
      </c>
    </row>
    <row r="29" spans="1:5" ht="15">
      <c r="A29" s="78"/>
      <c r="E29" s="74"/>
    </row>
    <row r="30" ht="15">
      <c r="A30" s="78"/>
    </row>
    <row r="31" ht="15">
      <c r="A31" s="78"/>
    </row>
    <row r="32" spans="1:5" ht="15">
      <c r="A32" s="78"/>
      <c r="E32" s="72"/>
    </row>
  </sheetData>
  <sheetProtection password="D8FF" sheet="1"/>
  <mergeCells count="1">
    <mergeCell ref="E11:F11"/>
  </mergeCells>
  <dataValidations count="3">
    <dataValidation type="list" allowBlank="1" showInputMessage="1" showErrorMessage="1" sqref="B6">
      <formula1>$K$5:$K$11</formula1>
    </dataValidation>
    <dataValidation type="list" allowBlank="1" showInputMessage="1" showErrorMessage="1" sqref="B27">
      <formula1>$K$27:$K$28</formula1>
    </dataValidation>
    <dataValidation type="list" allowBlank="1" showInputMessage="1" showErrorMessage="1" sqref="C23">
      <formula1>$L$23:$L$25</formula1>
    </dataValidation>
  </dataValidations>
  <printOptions/>
  <pageMargins left="0.75" right="0.75" top="1" bottom="1" header="0.5" footer="0.5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E9" sqref="E9"/>
    </sheetView>
  </sheetViews>
  <sheetFormatPr defaultColWidth="8.88671875" defaultRowHeight="15"/>
  <cols>
    <col min="1" max="1" width="18.10546875" style="0" customWidth="1"/>
    <col min="2" max="2" width="7.77734375" style="0" customWidth="1"/>
    <col min="3" max="3" width="13.3359375" style="0" customWidth="1"/>
    <col min="4" max="7" width="8.6640625" style="77" customWidth="1"/>
    <col min="8" max="8" width="39.5546875" style="0" customWidth="1"/>
    <col min="9" max="9" width="8.77734375" style="0" customWidth="1"/>
    <col min="10" max="12" width="17.3359375" style="0" customWidth="1"/>
    <col min="13" max="13" width="10.77734375" style="0" customWidth="1"/>
    <col min="14" max="14" width="7.3359375" style="0" customWidth="1"/>
    <col min="15" max="15" width="8.10546875" style="0" customWidth="1"/>
    <col min="16" max="16" width="7.3359375" style="0" customWidth="1"/>
    <col min="17" max="17" width="31.77734375" style="0" customWidth="1"/>
    <col min="18" max="20" width="8.77734375" style="0" customWidth="1"/>
  </cols>
  <sheetData>
    <row r="1" ht="15">
      <c r="A1" t="s">
        <v>247</v>
      </c>
    </row>
    <row r="2" spans="1:4" ht="15">
      <c r="A2" s="144"/>
      <c r="B2" s="144"/>
      <c r="C2" s="144"/>
      <c r="D2" s="144"/>
    </row>
    <row r="3" spans="1:17" ht="15.75">
      <c r="A3" s="140" t="s">
        <v>230</v>
      </c>
      <c r="B3" s="138" t="s">
        <v>229</v>
      </c>
      <c r="C3" s="140" t="s">
        <v>244</v>
      </c>
      <c r="D3" s="141" t="s">
        <v>3</v>
      </c>
      <c r="E3" s="139" t="s">
        <v>231</v>
      </c>
      <c r="F3" s="139" t="s">
        <v>146</v>
      </c>
      <c r="G3" s="139" t="s">
        <v>5</v>
      </c>
      <c r="H3" s="138" t="s">
        <v>245</v>
      </c>
      <c r="I3" s="135" t="s">
        <v>229</v>
      </c>
      <c r="J3" s="135" t="s">
        <v>230</v>
      </c>
      <c r="K3" s="135" t="s">
        <v>244</v>
      </c>
      <c r="L3" s="135" t="s">
        <v>144</v>
      </c>
      <c r="M3" s="135" t="s">
        <v>144</v>
      </c>
      <c r="N3" s="135" t="s">
        <v>231</v>
      </c>
      <c r="O3" s="135" t="s">
        <v>7</v>
      </c>
      <c r="P3" s="135" t="s">
        <v>5</v>
      </c>
      <c r="Q3" s="135" t="s">
        <v>233</v>
      </c>
    </row>
    <row r="4" spans="1:18" ht="15">
      <c r="A4" s="142" t="s">
        <v>228</v>
      </c>
      <c r="B4" s="136" t="str">
        <f>IF(A4="","",IF(A4=J5,"2513",IF(A4=J6,"2412",IF(A4=J7,"2413",IF(A4=J8:J8,"2301",IF(A4=J9,"2413",IF(A4=J10,"2403")))))))</f>
        <v>2403</v>
      </c>
      <c r="C4" s="142" t="s">
        <v>238</v>
      </c>
      <c r="D4" s="143" t="s">
        <v>249</v>
      </c>
      <c r="E4" s="137">
        <f>IF(A4="","",IF(A4="Class O Overlay","0",IF(AND(B4="2513",C4=K6,D4=L6),0,20)))</f>
        <v>20</v>
      </c>
      <c r="F4" s="137">
        <f>IF(A4="Class O Overlay",0,IF(AND(A4="HPC Deck Overlay",D4=L5),25,IF(AND(B4="2513",C4=K6),0,IF(D4=L5,35,0))))</f>
        <v>35</v>
      </c>
      <c r="G4" s="137">
        <f>IF(B4="2301",40,IF(B4="2403",50,IF(AND(B4="2513",C4=K5),50,IF(AND(B4="2412",C4=K5),50,50))))</f>
        <v>50</v>
      </c>
      <c r="H4" s="136" t="str">
        <f>IF(AND(B4="2301",C4=K6),R4,IF(AND(B4="2403",C4=K6),R5,IF(AND(B4="2412",C4=K6),R4,IF(A4="HPC Deck Overlay",R6,""))))</f>
        <v>Heating and protection required</v>
      </c>
      <c r="I4">
        <v>2412</v>
      </c>
      <c r="M4" t="s">
        <v>235</v>
      </c>
      <c r="N4">
        <v>20</v>
      </c>
      <c r="O4">
        <v>0</v>
      </c>
      <c r="P4">
        <v>50</v>
      </c>
      <c r="Q4" t="s">
        <v>239</v>
      </c>
      <c r="R4" t="s">
        <v>246</v>
      </c>
    </row>
    <row r="5" spans="9:18" ht="15">
      <c r="I5">
        <v>2403</v>
      </c>
      <c r="J5" t="s">
        <v>242</v>
      </c>
      <c r="K5" t="s">
        <v>239</v>
      </c>
      <c r="L5" t="s">
        <v>249</v>
      </c>
      <c r="M5" t="s">
        <v>249</v>
      </c>
      <c r="N5">
        <v>20</v>
      </c>
      <c r="O5">
        <v>35</v>
      </c>
      <c r="P5">
        <v>50</v>
      </c>
      <c r="Q5" t="s">
        <v>234</v>
      </c>
      <c r="R5" t="s">
        <v>234</v>
      </c>
    </row>
    <row r="6" spans="9:18" ht="15">
      <c r="I6">
        <v>2403</v>
      </c>
      <c r="J6" t="s">
        <v>236</v>
      </c>
      <c r="K6" t="s">
        <v>238</v>
      </c>
      <c r="L6" t="s">
        <v>232</v>
      </c>
      <c r="M6" t="s">
        <v>235</v>
      </c>
      <c r="N6">
        <v>20</v>
      </c>
      <c r="O6">
        <v>0</v>
      </c>
      <c r="P6">
        <v>50</v>
      </c>
      <c r="Q6" t="s">
        <v>234</v>
      </c>
      <c r="R6" t="s">
        <v>243</v>
      </c>
    </row>
    <row r="7" spans="9:17" ht="15">
      <c r="I7">
        <v>2301</v>
      </c>
      <c r="J7" t="s">
        <v>240</v>
      </c>
      <c r="L7" t="s">
        <v>251</v>
      </c>
      <c r="M7" t="s">
        <v>249</v>
      </c>
      <c r="N7">
        <v>20</v>
      </c>
      <c r="O7">
        <v>35</v>
      </c>
      <c r="P7">
        <v>40</v>
      </c>
      <c r="Q7" t="s">
        <v>237</v>
      </c>
    </row>
    <row r="8" spans="9:17" ht="15">
      <c r="I8">
        <v>2412</v>
      </c>
      <c r="J8" t="s">
        <v>227</v>
      </c>
      <c r="M8" t="s">
        <v>249</v>
      </c>
      <c r="N8">
        <v>20</v>
      </c>
      <c r="O8">
        <v>35</v>
      </c>
      <c r="P8">
        <v>50</v>
      </c>
      <c r="Q8" t="s">
        <v>239</v>
      </c>
    </row>
    <row r="9" spans="9:17" ht="15">
      <c r="I9">
        <v>2301</v>
      </c>
      <c r="J9" t="s">
        <v>241</v>
      </c>
      <c r="M9" t="s">
        <v>232</v>
      </c>
      <c r="N9">
        <v>20</v>
      </c>
      <c r="O9">
        <v>0</v>
      </c>
      <c r="P9">
        <v>40</v>
      </c>
      <c r="Q9" t="s">
        <v>237</v>
      </c>
    </row>
    <row r="10" spans="9:17" ht="15">
      <c r="I10">
        <v>2412</v>
      </c>
      <c r="J10" t="s">
        <v>228</v>
      </c>
      <c r="M10" t="s">
        <v>250</v>
      </c>
      <c r="N10">
        <v>0</v>
      </c>
      <c r="O10">
        <v>0</v>
      </c>
      <c r="Q10" t="s">
        <v>238</v>
      </c>
    </row>
    <row r="11" spans="9:15" ht="15">
      <c r="I11">
        <v>2413</v>
      </c>
      <c r="M11" t="s">
        <v>250</v>
      </c>
      <c r="N11">
        <v>0</v>
      </c>
      <c r="O11">
        <v>0</v>
      </c>
    </row>
    <row r="12" spans="9:17" ht="15">
      <c r="I12">
        <v>2413</v>
      </c>
      <c r="M12" t="s">
        <v>249</v>
      </c>
      <c r="N12">
        <v>20</v>
      </c>
      <c r="O12">
        <v>25</v>
      </c>
      <c r="Q12" t="s">
        <v>243</v>
      </c>
    </row>
    <row r="13" spans="9:15" ht="15">
      <c r="I13">
        <v>2413</v>
      </c>
      <c r="M13" t="s">
        <v>235</v>
      </c>
      <c r="N13">
        <v>20</v>
      </c>
      <c r="O13">
        <v>0</v>
      </c>
    </row>
    <row r="14" spans="9:17" ht="15">
      <c r="I14">
        <v>2513</v>
      </c>
      <c r="M14" t="s">
        <v>249</v>
      </c>
      <c r="N14">
        <v>20</v>
      </c>
      <c r="O14">
        <v>35</v>
      </c>
      <c r="P14">
        <v>50</v>
      </c>
      <c r="Q14" t="s">
        <v>239</v>
      </c>
    </row>
    <row r="15" spans="9:17" ht="15">
      <c r="I15">
        <v>2513</v>
      </c>
      <c r="M15" t="s">
        <v>235</v>
      </c>
      <c r="N15">
        <v>20</v>
      </c>
      <c r="O15">
        <v>0</v>
      </c>
      <c r="P15">
        <v>50</v>
      </c>
      <c r="Q15" t="s">
        <v>239</v>
      </c>
    </row>
    <row r="16" spans="9:17" ht="15">
      <c r="I16">
        <v>2513</v>
      </c>
      <c r="M16" t="s">
        <v>249</v>
      </c>
      <c r="N16">
        <v>20</v>
      </c>
      <c r="O16">
        <v>0</v>
      </c>
      <c r="P16">
        <v>20</v>
      </c>
      <c r="Q16" t="s">
        <v>238</v>
      </c>
    </row>
    <row r="17" spans="9:17" ht="15">
      <c r="I17">
        <v>2513</v>
      </c>
      <c r="M17" t="s">
        <v>235</v>
      </c>
      <c r="N17">
        <v>0</v>
      </c>
      <c r="O17">
        <v>0</v>
      </c>
      <c r="Q17" t="s">
        <v>238</v>
      </c>
    </row>
  </sheetData>
  <sheetProtection password="D8FF" sheet="1"/>
  <dataValidations count="3">
    <dataValidation type="list" allowBlank="1" showInputMessage="1" showErrorMessage="1" sqref="A4">
      <formula1>$J$4:$J$10</formula1>
    </dataValidation>
    <dataValidation type="list" allowBlank="1" showInputMessage="1" showErrorMessage="1" sqref="C4">
      <formula1>$K$4:$K$6</formula1>
    </dataValidation>
    <dataValidation type="list" allowBlank="1" showInputMessage="1" showErrorMessage="1" sqref="D4">
      <formula1>$L$4:$L$6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75" zoomScaleNormal="87" zoomScaleSheetLayoutView="75" zoomScalePageLayoutView="0" workbookViewId="0" topLeftCell="A22">
      <selection activeCell="G60" sqref="G60"/>
    </sheetView>
  </sheetViews>
  <sheetFormatPr defaultColWidth="8.88671875" defaultRowHeight="15"/>
  <cols>
    <col min="1" max="1" width="19.3359375" style="0" customWidth="1"/>
    <col min="2" max="2" width="14.77734375" style="0" customWidth="1"/>
    <col min="3" max="3" width="12.4453125" style="0" customWidth="1"/>
    <col min="4" max="4" width="12.77734375" style="0" customWidth="1"/>
    <col min="5" max="5" width="9.3359375" style="0" customWidth="1"/>
    <col min="6" max="6" width="12.6640625" style="0" customWidth="1"/>
    <col min="7" max="7" width="17.6640625" style="0" customWidth="1"/>
    <col min="8" max="8" width="10.77734375" style="0" customWidth="1"/>
    <col min="9" max="9" width="8.4453125" style="0" customWidth="1"/>
    <col min="10" max="10" width="24.5546875" style="0" customWidth="1"/>
    <col min="11" max="11" width="16.77734375" style="0" customWidth="1"/>
  </cols>
  <sheetData>
    <row r="1" spans="1:11" ht="15.75">
      <c r="A1" s="61" t="s">
        <v>255</v>
      </c>
      <c r="B1" s="199" t="s">
        <v>113</v>
      </c>
      <c r="C1" s="200"/>
      <c r="D1" s="200"/>
      <c r="E1" s="200"/>
      <c r="F1" s="200"/>
      <c r="G1" s="63"/>
      <c r="H1" s="65" t="s">
        <v>261</v>
      </c>
      <c r="I1" s="148"/>
      <c r="J1" s="92" t="s">
        <v>202</v>
      </c>
      <c r="K1" s="92" t="s">
        <v>203</v>
      </c>
    </row>
    <row r="2" spans="1:11" ht="15.75">
      <c r="A2" s="63"/>
      <c r="B2" s="199" t="s">
        <v>114</v>
      </c>
      <c r="C2" s="200"/>
      <c r="D2" s="200"/>
      <c r="E2" s="200"/>
      <c r="F2" s="200"/>
      <c r="G2" s="63"/>
      <c r="H2" s="151" t="str">
        <f>IF('Mix Info'!$B$27="M","'M - Units","E - Units")</f>
        <v>E - Units</v>
      </c>
      <c r="I2" s="149"/>
      <c r="J2" s="117" t="s">
        <v>204</v>
      </c>
      <c r="K2" s="117" t="s">
        <v>205</v>
      </c>
    </row>
    <row r="3" spans="1:11" ht="15.75">
      <c r="A3" s="67"/>
      <c r="B3" s="199" t="s">
        <v>115</v>
      </c>
      <c r="C3" s="200"/>
      <c r="D3" s="200"/>
      <c r="E3" s="200"/>
      <c r="F3" s="200"/>
      <c r="G3" s="63"/>
      <c r="H3" s="63"/>
      <c r="I3" s="148"/>
      <c r="J3" s="92" t="s">
        <v>206</v>
      </c>
      <c r="K3" s="92" t="s">
        <v>207</v>
      </c>
    </row>
    <row r="4" spans="1:11" ht="15.75">
      <c r="A4" s="63"/>
      <c r="B4" s="63"/>
      <c r="C4" s="63"/>
      <c r="D4" s="63"/>
      <c r="E4" s="63"/>
      <c r="F4" s="63"/>
      <c r="G4" s="63"/>
      <c r="H4" s="63"/>
      <c r="I4" s="148"/>
      <c r="J4" s="127" t="s">
        <v>208</v>
      </c>
      <c r="K4" s="127" t="s">
        <v>209</v>
      </c>
    </row>
    <row r="5" spans="1:8" ht="15.75">
      <c r="A5" s="88" t="s">
        <v>116</v>
      </c>
      <c r="B5" s="89">
        <f>IF('Mix Info'!B2="","",'Mix Info'!B2)</f>
      </c>
      <c r="C5" s="90"/>
      <c r="D5" s="91"/>
      <c r="E5" s="92"/>
      <c r="F5" s="92"/>
      <c r="G5" s="91" t="s">
        <v>117</v>
      </c>
      <c r="H5" s="89">
        <f>IF('Mix Info'!B1="","",'Mix Info'!B1)</f>
      </c>
    </row>
    <row r="6" spans="1:8" ht="15.75">
      <c r="A6" s="93"/>
      <c r="B6" s="92"/>
      <c r="C6" s="93"/>
      <c r="D6" s="93"/>
      <c r="E6" s="93"/>
      <c r="F6" s="93"/>
      <c r="G6" s="93"/>
      <c r="H6" s="92"/>
    </row>
    <row r="7" spans="1:8" ht="15.75">
      <c r="A7" s="91" t="s">
        <v>118</v>
      </c>
      <c r="B7" s="94" t="str">
        <f>IF('Batch Wts. English'!F3="","",'Batch Wts. English'!F3)</f>
        <v>SCC</v>
      </c>
      <c r="D7" s="131" t="s">
        <v>215</v>
      </c>
      <c r="E7" s="132">
        <f>IF('E820150A'!B13="","",'E820150A'!B13)</f>
        <v>0.133</v>
      </c>
      <c r="F7" s="93"/>
      <c r="G7" s="91" t="s">
        <v>212</v>
      </c>
      <c r="H7" s="99">
        <f>IF('Mix Info'!B6="","",'Mix Info'!B6)</f>
      </c>
    </row>
    <row r="8" spans="1:8" ht="15.75">
      <c r="A8" s="93"/>
      <c r="B8" s="93"/>
      <c r="C8" s="92"/>
      <c r="D8" s="93"/>
      <c r="E8" s="92"/>
      <c r="F8" s="93"/>
      <c r="G8" s="93"/>
      <c r="H8" s="92"/>
    </row>
    <row r="9" spans="1:8" ht="15.75">
      <c r="A9" s="91" t="s">
        <v>217</v>
      </c>
      <c r="B9" s="97">
        <f>IF('E820150A'!B33="","",'E820150A'!B33)</f>
        <v>704</v>
      </c>
      <c r="C9" s="150" t="str">
        <f>IF('Mix Info'!$B$27="M",$J$2,$K$2)</f>
        <v>lbs</v>
      </c>
      <c r="D9" s="91" t="s">
        <v>119</v>
      </c>
      <c r="E9" s="89">
        <f>IF('Mix Info'!B5="","",CONCATENATE('Mix Info'!B5," ",'Mix Info'!B6))</f>
      </c>
      <c r="F9" s="90"/>
      <c r="G9" s="91" t="s">
        <v>120</v>
      </c>
      <c r="H9" s="99">
        <f>IF('Mix Info'!B7="","",'Mix Info'!B7)</f>
        <v>3.14</v>
      </c>
    </row>
    <row r="10" spans="1:8" ht="15.75">
      <c r="A10" s="92"/>
      <c r="B10" s="129" t="s">
        <v>216</v>
      </c>
      <c r="C10" s="100"/>
      <c r="D10" s="92"/>
      <c r="E10" s="92"/>
      <c r="F10" s="92"/>
      <c r="G10" s="92"/>
      <c r="H10" s="92"/>
    </row>
    <row r="11" spans="1:8" ht="15.75">
      <c r="A11" s="91" t="s">
        <v>218</v>
      </c>
      <c r="B11" s="94">
        <f>IF('Mix Info'!B10="","",'Mix Info'!B10)</f>
      </c>
      <c r="C11" s="133">
        <f>IF('E820150A'!B35="","",IF(B7="","",'E820150A'!B35))</f>
        <v>0</v>
      </c>
      <c r="D11" s="91" t="s">
        <v>119</v>
      </c>
      <c r="E11" s="89">
        <f>IF('Mix Info'!B8="","",'Mix Info'!B8)</f>
      </c>
      <c r="F11" s="89"/>
      <c r="G11" s="91" t="s">
        <v>120</v>
      </c>
      <c r="H11" s="99">
        <f>IF('Mix Info'!B11="","",'Mix Info'!B11)</f>
      </c>
    </row>
    <row r="12" spans="1:8" ht="15.75">
      <c r="A12" s="91"/>
      <c r="B12" s="129"/>
      <c r="C12" s="101"/>
      <c r="D12" s="91"/>
      <c r="E12" s="102"/>
      <c r="F12" s="102"/>
      <c r="G12" s="91"/>
      <c r="H12" s="103"/>
    </row>
    <row r="13" spans="1:8" ht="15.75">
      <c r="A13" s="91" t="s">
        <v>219</v>
      </c>
      <c r="B13" s="94">
        <f>IF('Mix Info'!B13="","",'Mix Info'!B13)</f>
      </c>
      <c r="C13" s="133">
        <f>IF('E820150A'!B36="","",IF(B7="","",'E820150A'!B36))</f>
        <v>0</v>
      </c>
      <c r="D13" s="91" t="s">
        <v>119</v>
      </c>
      <c r="E13" s="89">
        <f>IF('Mix Info'!B12="","",'Mix Info'!B12)</f>
      </c>
      <c r="F13" s="89"/>
      <c r="G13" s="91" t="s">
        <v>120</v>
      </c>
      <c r="H13" s="99">
        <f>IF('Mix Info'!B14="","",'Mix Info'!B14)</f>
      </c>
    </row>
    <row r="14" spans="1:8" ht="15.75">
      <c r="A14" s="91"/>
      <c r="B14" s="91"/>
      <c r="C14" s="101"/>
      <c r="D14" s="91"/>
      <c r="E14" s="104"/>
      <c r="F14" s="102"/>
      <c r="G14" s="91"/>
      <c r="H14" s="103"/>
    </row>
    <row r="15" spans="1:8" ht="15.75">
      <c r="A15" s="98"/>
      <c r="B15" s="91" t="s">
        <v>214</v>
      </c>
      <c r="C15" s="97">
        <f>IF('E820150A'!B34="","",'E820150A'!B34)</f>
        <v>704</v>
      </c>
      <c r="D15" s="150" t="str">
        <f>IF('Mix Info'!$B$27="M",$J$2,$K$2)</f>
        <v>lbs</v>
      </c>
      <c r="E15" s="104"/>
      <c r="F15" s="104"/>
      <c r="G15" s="91"/>
      <c r="H15" s="103"/>
    </row>
    <row r="16" spans="1:8" ht="15.75">
      <c r="A16" s="98"/>
      <c r="B16" s="91"/>
      <c r="C16" s="130"/>
      <c r="D16" s="91"/>
      <c r="E16" s="104"/>
      <c r="F16" s="104"/>
      <c r="G16" s="91"/>
      <c r="H16" s="103"/>
    </row>
    <row r="17" spans="1:8" ht="15.75">
      <c r="A17" s="98"/>
      <c r="B17" s="91" t="s">
        <v>121</v>
      </c>
      <c r="C17" s="97">
        <f>IF(B9="","",C11+C13+C15)</f>
        <v>704</v>
      </c>
      <c r="D17" s="150" t="str">
        <f>IF('Mix Info'!$B$27="M",$J$2,$K$2)</f>
        <v>lbs</v>
      </c>
      <c r="F17" s="91" t="s">
        <v>211</v>
      </c>
      <c r="G17" s="128">
        <f>IF(B7="","",'E820150A'!G35)</f>
        <v>0</v>
      </c>
      <c r="H17" s="103"/>
    </row>
    <row r="18" spans="1:8" ht="15.75">
      <c r="A18" s="92"/>
      <c r="B18" s="92"/>
      <c r="C18" s="92"/>
      <c r="D18" s="92"/>
      <c r="E18" s="92"/>
      <c r="F18" s="92"/>
      <c r="G18" s="92"/>
      <c r="H18" s="92"/>
    </row>
    <row r="19" spans="1:8" ht="15.75">
      <c r="A19" s="91" t="s">
        <v>170</v>
      </c>
      <c r="B19" s="95" t="s">
        <v>122</v>
      </c>
      <c r="C19" s="95"/>
      <c r="D19" s="197">
        <f>IF('Mix Info'!B15="","",'Mix Info'!B15)</f>
      </c>
      <c r="E19" s="198"/>
      <c r="F19" s="107"/>
      <c r="G19" s="91" t="s">
        <v>120</v>
      </c>
      <c r="H19" s="99">
        <f>IF('Mix Info'!B16="","",'Mix Info'!B16)</f>
        <v>2.65</v>
      </c>
    </row>
    <row r="20" spans="1:8" ht="15.75">
      <c r="A20" s="91" t="s">
        <v>170</v>
      </c>
      <c r="B20" s="95" t="s">
        <v>123</v>
      </c>
      <c r="C20" s="95"/>
      <c r="D20" s="195">
        <f>IF('Mix Info'!B17="","",'Mix Info'!B17)</f>
      </c>
      <c r="E20" s="196"/>
      <c r="F20" s="109"/>
      <c r="G20" s="91" t="s">
        <v>120</v>
      </c>
      <c r="H20" s="99">
        <f>IF('Mix Info'!B18="","",'Mix Info'!B18)</f>
      </c>
    </row>
    <row r="21" spans="1:8" ht="15.75">
      <c r="A21" s="91" t="s">
        <v>170</v>
      </c>
      <c r="B21" s="95" t="s">
        <v>124</v>
      </c>
      <c r="C21" s="95"/>
      <c r="D21" s="195">
        <f>IF('Mix Info'!B19="","",'Mix Info'!B19)</f>
      </c>
      <c r="E21" s="196"/>
      <c r="F21" s="89"/>
      <c r="G21" s="91" t="s">
        <v>120</v>
      </c>
      <c r="H21" s="99">
        <f>IF('Mix Info'!B20="","",'Mix Info'!B20)</f>
        <v>2.65</v>
      </c>
    </row>
    <row r="22" spans="1:8" ht="15.75">
      <c r="A22" s="92"/>
      <c r="B22" s="92"/>
      <c r="C22" s="92"/>
      <c r="D22" s="92"/>
      <c r="E22" s="92"/>
      <c r="F22" s="92"/>
      <c r="G22" s="92"/>
      <c r="H22" s="92"/>
    </row>
    <row r="23" spans="1:8" ht="15.75">
      <c r="A23" s="91" t="s">
        <v>125</v>
      </c>
      <c r="B23" s="110">
        <f>IF('Batch Wts. English'!G10="","",'Batch Wts. English'!G10)</f>
        <v>0.4</v>
      </c>
      <c r="C23" s="91" t="s">
        <v>130</v>
      </c>
      <c r="D23" s="146" t="str">
        <f>IF('Mix Info'!$B$27="M",$J$3,$K$3)</f>
        <v>lbs/cy</v>
      </c>
      <c r="E23" s="147" t="s">
        <v>252</v>
      </c>
      <c r="F23" s="92"/>
      <c r="H23" s="97">
        <f>IF('Batch Wts. English'!F10="","",'Batch Wts. English'!F10)</f>
        <v>281.6</v>
      </c>
    </row>
    <row r="24" spans="1:8" ht="15.75">
      <c r="A24" s="91" t="s">
        <v>126</v>
      </c>
      <c r="B24" s="110">
        <f>IF('Batch Wts. English'!G11="","",'Batch Wts. English'!G11)</f>
        <v>0.45</v>
      </c>
      <c r="C24" s="91" t="s">
        <v>253</v>
      </c>
      <c r="D24" s="146" t="str">
        <f>IF('Mix Info'!$B$27="M",$J$3,$K$3)</f>
        <v>lbs/cy</v>
      </c>
      <c r="E24" s="147" t="s">
        <v>254</v>
      </c>
      <c r="F24" s="92"/>
      <c r="H24" s="97">
        <f>IF('Batch Wts. English'!F11="","",'Batch Wts. English'!F11)</f>
        <v>316.8</v>
      </c>
    </row>
    <row r="25" spans="1:8" ht="15.75">
      <c r="A25" s="92"/>
      <c r="B25" s="92"/>
      <c r="C25" s="92"/>
      <c r="D25" s="92"/>
      <c r="E25" s="92"/>
      <c r="F25" s="92"/>
      <c r="G25" s="92"/>
      <c r="H25" s="92"/>
    </row>
    <row r="26" spans="1:8" ht="15.75">
      <c r="A26" s="92" t="s">
        <v>127</v>
      </c>
      <c r="B26" s="91" t="s">
        <v>3</v>
      </c>
      <c r="C26" s="92" t="s">
        <v>128</v>
      </c>
      <c r="D26" s="92"/>
      <c r="E26" s="147" t="str">
        <f>IF('Mix Info'!$B$27="M",$J$1,$K$1)</f>
        <v>(lbs/cy) / ( Sp. Gr. X 62.4 X 27)           =</v>
      </c>
      <c r="F26" s="92"/>
      <c r="G26" s="91"/>
      <c r="H26" s="111">
        <f>IF('E820150A'!B14="","",'E820150A'!B14)</f>
        <v>0.133</v>
      </c>
    </row>
    <row r="27" spans="1:8" ht="15.75">
      <c r="A27" s="92"/>
      <c r="B27" s="92"/>
      <c r="C27" s="92"/>
      <c r="D27" s="92"/>
      <c r="E27" s="112"/>
      <c r="F27" s="92"/>
      <c r="G27" s="92"/>
      <c r="H27" s="92"/>
    </row>
    <row r="28" spans="1:8" ht="15.75">
      <c r="A28" s="92"/>
      <c r="B28" s="91" t="s">
        <v>4</v>
      </c>
      <c r="C28" s="92" t="s">
        <v>128</v>
      </c>
      <c r="D28" s="92"/>
      <c r="E28" s="147" t="str">
        <f>IF('Mix Info'!$B$27="M",$J$1,$K$1)</f>
        <v>(lbs/cy) / ( Sp. Gr. X 62.4 X 27)           =</v>
      </c>
      <c r="F28" s="92"/>
      <c r="G28" s="91"/>
      <c r="H28" s="111">
        <f>IF('E820150A'!B15="","",'E820150A'!B15)</f>
      </c>
    </row>
    <row r="29" spans="1:8" ht="15.75">
      <c r="A29" s="92"/>
      <c r="B29" s="92"/>
      <c r="C29" s="92"/>
      <c r="D29" s="92"/>
      <c r="E29" s="112"/>
      <c r="F29" s="92"/>
      <c r="G29" s="92"/>
      <c r="H29" s="92"/>
    </row>
    <row r="30" spans="1:8" ht="15.75">
      <c r="A30" s="92"/>
      <c r="B30" s="91" t="s">
        <v>129</v>
      </c>
      <c r="C30" s="92" t="s">
        <v>128</v>
      </c>
      <c r="D30" s="92"/>
      <c r="E30" s="147" t="str">
        <f>IF('Mix Info'!$B$27="M",$J$1,$K$1)</f>
        <v>(lbs/cy) / ( Sp. Gr. X 62.4 X 27)           =</v>
      </c>
      <c r="F30" s="92"/>
      <c r="G30" s="91"/>
      <c r="H30" s="111">
        <f>IF('E820150A'!B16="","",'E820150A'!B16)</f>
      </c>
    </row>
    <row r="31" spans="1:8" ht="15.75">
      <c r="A31" s="92"/>
      <c r="B31" s="92"/>
      <c r="C31" s="92"/>
      <c r="D31" s="92"/>
      <c r="E31" s="92"/>
      <c r="F31" s="92"/>
      <c r="G31" s="92"/>
      <c r="H31" s="92"/>
    </row>
    <row r="32" spans="1:8" ht="15.75">
      <c r="A32" s="92"/>
      <c r="B32" s="91" t="s">
        <v>130</v>
      </c>
      <c r="C32" s="92" t="s">
        <v>128</v>
      </c>
      <c r="D32" s="92"/>
      <c r="E32" s="147" t="str">
        <f>IF('Mix Info'!$B$27="M",$J$1,$K$1)</f>
        <v>(lbs/cy) / ( Sp. Gr. X 62.4 X 27)           =</v>
      </c>
      <c r="F32" s="92"/>
      <c r="G32" s="91"/>
      <c r="H32" s="111">
        <f>IF('E820150A'!B17="","",'E820150A'!B17)</f>
        <v>0.16714150047483384</v>
      </c>
    </row>
    <row r="33" spans="1:8" ht="15.75">
      <c r="A33" s="92"/>
      <c r="B33" s="92"/>
      <c r="C33" s="92"/>
      <c r="D33" s="92"/>
      <c r="E33" s="112"/>
      <c r="F33" s="92"/>
      <c r="G33" s="92"/>
      <c r="H33" s="92"/>
    </row>
    <row r="34" spans="1:8" ht="15.75">
      <c r="A34" s="92"/>
      <c r="B34" s="91" t="s">
        <v>132</v>
      </c>
      <c r="C34" s="92" t="s">
        <v>133</v>
      </c>
      <c r="D34" s="92"/>
      <c r="E34" s="92"/>
      <c r="F34" s="92"/>
      <c r="G34" s="92"/>
      <c r="H34" s="113">
        <f>IF('E820150A'!B18="","",'E820150A'!B18)</f>
        <v>0.06</v>
      </c>
    </row>
    <row r="35" spans="1:8" ht="15.75">
      <c r="A35" s="92"/>
      <c r="B35" s="92"/>
      <c r="C35" s="92"/>
      <c r="D35" s="92"/>
      <c r="E35" s="92"/>
      <c r="F35" s="92"/>
      <c r="G35" s="92"/>
      <c r="H35" s="92"/>
    </row>
    <row r="36" spans="1:8" ht="15.75">
      <c r="A36" s="92"/>
      <c r="B36" s="92"/>
      <c r="C36" s="92"/>
      <c r="D36" s="92"/>
      <c r="E36" s="92"/>
      <c r="F36" s="91" t="s">
        <v>32</v>
      </c>
      <c r="G36" s="91" t="s">
        <v>131</v>
      </c>
      <c r="H36" s="111">
        <f>IF('E820150A'!B19="","",'E820150A'!B19)</f>
        <v>0.36014150047483384</v>
      </c>
    </row>
    <row r="37" spans="1:8" ht="15.75">
      <c r="A37" s="92"/>
      <c r="B37" s="92"/>
      <c r="C37" s="92"/>
      <c r="D37" s="92"/>
      <c r="F37" s="95" t="s">
        <v>134</v>
      </c>
      <c r="G37" s="91" t="s">
        <v>131</v>
      </c>
      <c r="H37" s="111">
        <f>IF('E820150A'!B20="","",'E820150A'!B20)</f>
        <v>0.64</v>
      </c>
    </row>
    <row r="38" spans="1:8" ht="15.75">
      <c r="A38" s="92"/>
      <c r="B38" s="92"/>
      <c r="C38" s="92"/>
      <c r="D38" s="92"/>
      <c r="E38" s="92"/>
      <c r="F38" s="91" t="s">
        <v>5</v>
      </c>
      <c r="G38" s="91" t="s">
        <v>131</v>
      </c>
      <c r="H38" s="113">
        <v>1</v>
      </c>
    </row>
    <row r="39" spans="1:8" ht="15.75">
      <c r="A39" s="92"/>
      <c r="B39" s="92"/>
      <c r="C39" s="92"/>
      <c r="D39" s="92"/>
      <c r="E39" s="92"/>
      <c r="F39" s="92"/>
      <c r="G39" s="92"/>
      <c r="H39" s="92"/>
    </row>
    <row r="40" spans="1:8" ht="15.75">
      <c r="A40" s="91" t="s">
        <v>135</v>
      </c>
      <c r="B40" s="114">
        <f>IF('E820150A'!B22="","",IF('E820150A'!B22=0,"",'E820150A'!B22))</f>
        <v>50</v>
      </c>
      <c r="C40" s="95" t="s">
        <v>136</v>
      </c>
      <c r="D40" s="95"/>
      <c r="E40" s="95"/>
      <c r="F40" s="95"/>
      <c r="G40" s="91" t="s">
        <v>131</v>
      </c>
      <c r="H40" s="111">
        <f>IF('E820150A'!B29="","",'E820150A'!B29)</f>
        <v>0.32</v>
      </c>
    </row>
    <row r="41" spans="1:8" ht="15.75">
      <c r="A41" s="91" t="s">
        <v>137</v>
      </c>
      <c r="B41" s="114">
        <f>IF('E820150A'!B23="","",IF('E820150A'!B23=0,"",'E820150A'!B23))</f>
      </c>
      <c r="C41" s="95" t="s">
        <v>138</v>
      </c>
      <c r="D41" s="95"/>
      <c r="E41" s="95"/>
      <c r="F41" s="95"/>
      <c r="G41" s="91" t="s">
        <v>131</v>
      </c>
      <c r="H41" s="111">
        <f>IF('E820150A'!B30="","",IF('E820150A'!B30=0,"",'E820150A'!B30))</f>
      </c>
    </row>
    <row r="42" spans="1:8" ht="15.75">
      <c r="A42" s="91" t="s">
        <v>139</v>
      </c>
      <c r="B42" s="114">
        <f>IF('E820150A'!B24="","",IF('E820150A'!B24=0,"",'E820150A'!B24))</f>
        <v>50</v>
      </c>
      <c r="C42" s="95" t="s">
        <v>140</v>
      </c>
      <c r="D42" s="95"/>
      <c r="E42" s="95"/>
      <c r="F42" s="95"/>
      <c r="G42" s="91" t="s">
        <v>131</v>
      </c>
      <c r="H42" s="111">
        <f>'E820150A'!B31</f>
        <v>0.32</v>
      </c>
    </row>
    <row r="43" spans="1:8" ht="15.75">
      <c r="A43" s="92"/>
      <c r="B43" s="92"/>
      <c r="C43" s="92"/>
      <c r="D43" s="92"/>
      <c r="E43" s="95" t="s">
        <v>141</v>
      </c>
      <c r="F43" s="95"/>
      <c r="G43" s="91" t="s">
        <v>131</v>
      </c>
      <c r="H43" s="111">
        <f>IF(H40="","",SUM(H40:H42))</f>
        <v>0.64</v>
      </c>
    </row>
    <row r="44" spans="2:8" ht="15.75">
      <c r="B44" s="92"/>
      <c r="C44" s="92"/>
      <c r="D44" s="92"/>
      <c r="E44" s="92"/>
      <c r="F44" s="92"/>
      <c r="G44" s="92"/>
      <c r="H44" s="92"/>
    </row>
    <row r="45" spans="1:8" ht="15.75">
      <c r="A45" s="92" t="s">
        <v>142</v>
      </c>
      <c r="B45" s="92"/>
      <c r="C45" s="127" t="s">
        <v>257</v>
      </c>
      <c r="D45" s="147" t="str">
        <f>IF('Mix Info'!$B$27="M",$J$4,$K$4)</f>
        <v>Abs Vol. X Sp. Gr. X 62.4 X 27</v>
      </c>
      <c r="E45" s="95"/>
      <c r="F45" s="95"/>
      <c r="G45" s="91" t="s">
        <v>131</v>
      </c>
      <c r="H45" s="115">
        <f>IF('E820150A'!B38="","",'E820150A'!B38)</f>
        <v>1429</v>
      </c>
    </row>
    <row r="46" spans="1:8" ht="15.75">
      <c r="A46" s="92"/>
      <c r="B46" s="92"/>
      <c r="C46" s="127"/>
      <c r="D46" s="95"/>
      <c r="E46" s="96"/>
      <c r="F46" s="95"/>
      <c r="G46" s="92"/>
      <c r="H46" s="100"/>
    </row>
    <row r="47" spans="1:8" ht="15.75">
      <c r="A47" s="92"/>
      <c r="B47" s="92"/>
      <c r="C47" s="127" t="s">
        <v>258</v>
      </c>
      <c r="D47" s="147" t="str">
        <f>IF('Mix Info'!$B$27="M",$J$4,$K$4)</f>
        <v>Abs Vol. X Sp. Gr. X 62.4 X 27</v>
      </c>
      <c r="E47" s="95"/>
      <c r="F47" s="95"/>
      <c r="G47" s="91" t="s">
        <v>131</v>
      </c>
      <c r="H47" s="115">
        <f>IF('E820150A'!B39="","",'E820150A'!B39)</f>
      </c>
    </row>
    <row r="48" spans="1:8" ht="15.75">
      <c r="A48" s="92"/>
      <c r="B48" s="92"/>
      <c r="C48" s="127"/>
      <c r="D48" s="92"/>
      <c r="E48" s="92"/>
      <c r="F48" s="92"/>
      <c r="G48" s="92"/>
      <c r="H48" s="100"/>
    </row>
    <row r="49" spans="1:8" ht="15.75">
      <c r="A49" s="92"/>
      <c r="B49" s="92"/>
      <c r="C49" s="127" t="s">
        <v>259</v>
      </c>
      <c r="D49" s="147" t="str">
        <f>IF('Mix Info'!$B$27="M",$J$4,$K$4)</f>
        <v>Abs Vol. X Sp. Gr. X 62.4 X 27</v>
      </c>
      <c r="E49" s="95"/>
      <c r="F49" s="95"/>
      <c r="G49" s="91" t="s">
        <v>131</v>
      </c>
      <c r="H49" s="115">
        <f>IF('E820150A'!B40="","",'E820150A'!B40)</f>
        <v>1429</v>
      </c>
    </row>
    <row r="50" spans="1:8" ht="15.75">
      <c r="A50" s="92"/>
      <c r="B50" s="92"/>
      <c r="C50" s="92"/>
      <c r="D50" s="95"/>
      <c r="E50" s="96"/>
      <c r="F50" s="95"/>
      <c r="G50" s="92"/>
      <c r="H50" s="92"/>
    </row>
    <row r="51" spans="1:8" ht="15.75">
      <c r="A51" s="92" t="s">
        <v>143</v>
      </c>
      <c r="C51" s="92"/>
      <c r="D51" s="91" t="s">
        <v>144</v>
      </c>
      <c r="E51" s="116">
        <f>C15</f>
        <v>704</v>
      </c>
      <c r="F51" s="147" t="str">
        <f>IF('Mix Info'!$B$27="M",$J$3,$K$3)</f>
        <v>lbs/cy</v>
      </c>
      <c r="G51" s="92"/>
      <c r="H51" s="92"/>
    </row>
    <row r="52" spans="1:8" ht="15.75">
      <c r="A52" s="92"/>
      <c r="D52" s="91" t="s">
        <v>145</v>
      </c>
      <c r="E52" s="116">
        <f>C11</f>
        <v>0</v>
      </c>
      <c r="F52" s="147" t="str">
        <f>IF('Mix Info'!$B$27="M",$J$3,$K$3)</f>
        <v>lbs/cy</v>
      </c>
      <c r="G52" s="92"/>
      <c r="H52" s="92"/>
    </row>
    <row r="53" spans="1:8" ht="15.75">
      <c r="A53" s="148"/>
      <c r="B53" s="187"/>
      <c r="D53" s="91" t="s">
        <v>146</v>
      </c>
      <c r="E53" s="116">
        <f>C13</f>
        <v>0</v>
      </c>
      <c r="F53" s="147" t="str">
        <f>IF('Mix Info'!$B$27="M",$J$3,$K$3)</f>
        <v>lbs/cy</v>
      </c>
      <c r="G53" s="92"/>
      <c r="H53" s="92"/>
    </row>
    <row r="54" spans="1:8" ht="15.75">
      <c r="A54" s="188"/>
      <c r="B54" s="189"/>
      <c r="D54" s="91" t="s">
        <v>147</v>
      </c>
      <c r="E54" s="116">
        <f>H23</f>
        <v>281.6</v>
      </c>
      <c r="F54" s="147" t="str">
        <f>IF('Mix Info'!$B$27="M",$J$3,$K$3)</f>
        <v>lbs/cy</v>
      </c>
      <c r="G54" s="92"/>
      <c r="H54" s="92"/>
    </row>
    <row r="55" spans="1:8" ht="15.75">
      <c r="A55" s="188"/>
      <c r="B55" s="189"/>
      <c r="D55" s="91" t="s">
        <v>148</v>
      </c>
      <c r="E55" s="116">
        <f>H45</f>
        <v>1429</v>
      </c>
      <c r="F55" s="147" t="str">
        <f>IF('Mix Info'!$B$27="M",$J$3,$K$3)</f>
        <v>lbs/cy</v>
      </c>
      <c r="G55" s="92"/>
      <c r="H55" s="92"/>
    </row>
    <row r="56" spans="1:8" ht="15.75">
      <c r="A56" s="188"/>
      <c r="B56" s="189"/>
      <c r="C56" s="112"/>
      <c r="D56" s="91" t="s">
        <v>149</v>
      </c>
      <c r="E56" s="116">
        <f>H47</f>
      </c>
      <c r="F56" s="147" t="str">
        <f>IF('Mix Info'!$B$27="M",$J$3,$K$3)</f>
        <v>lbs/cy</v>
      </c>
      <c r="G56" s="92"/>
      <c r="H56" s="92"/>
    </row>
    <row r="57" spans="1:8" ht="15.75">
      <c r="A57" s="92"/>
      <c r="B57" s="92"/>
      <c r="C57" s="112"/>
      <c r="D57" s="91" t="s">
        <v>150</v>
      </c>
      <c r="E57" s="116">
        <f>H49</f>
        <v>1429</v>
      </c>
      <c r="F57" s="147" t="str">
        <f>IF('Mix Info'!$B$27="M",$J$3,$K$3)</f>
        <v>lbs/cy</v>
      </c>
      <c r="G57" s="92"/>
      <c r="H57" s="92"/>
    </row>
    <row r="58" spans="1:8" ht="15.75">
      <c r="A58" s="92"/>
      <c r="B58" s="92"/>
      <c r="C58" s="112"/>
      <c r="D58" s="127">
        <f>IF('Mix Info'!B22="","",CONCATENATE('Mix Info'!A22," ",'Mix Info'!B22))</f>
      </c>
      <c r="E58" s="105"/>
      <c r="F58" s="147"/>
      <c r="G58" s="92"/>
      <c r="H58" s="92"/>
    </row>
    <row r="59" spans="1:8" ht="15.75">
      <c r="A59" s="92"/>
      <c r="B59" s="92"/>
      <c r="C59" s="112"/>
      <c r="D59" s="127">
        <f>IF('Mix Info'!B23="","",CONCATENATE('Mix Info'!A23," ",'Mix Info'!B23))</f>
      </c>
      <c r="E59" s="105"/>
      <c r="F59" s="147"/>
      <c r="G59" s="92"/>
      <c r="H59" s="92"/>
    </row>
    <row r="60" spans="1:8" ht="15.75">
      <c r="A60" s="66"/>
      <c r="B60" s="66"/>
      <c r="C60" s="66"/>
      <c r="D60" s="127">
        <f>IF('Mix Info'!B24="","",CONCATENATE('Mix Info'!A24," ",'Mix Info'!B24))</f>
      </c>
      <c r="E60" s="66"/>
      <c r="F60" s="66"/>
      <c r="G60" s="66"/>
      <c r="H60" s="66"/>
    </row>
    <row r="61" spans="1:8" ht="15">
      <c r="A61" s="68" t="s">
        <v>224</v>
      </c>
      <c r="B61" s="66"/>
      <c r="C61" s="66"/>
      <c r="D61" s="66"/>
      <c r="E61" s="66"/>
      <c r="F61" s="66"/>
      <c r="G61" s="66"/>
      <c r="H61" s="66"/>
    </row>
    <row r="62" spans="1:8" ht="15">
      <c r="A62" s="66"/>
      <c r="B62" s="66"/>
      <c r="C62" s="66"/>
      <c r="D62" s="66"/>
      <c r="E62" s="66"/>
      <c r="F62" s="66"/>
      <c r="G62" s="66"/>
      <c r="H62" s="66"/>
    </row>
    <row r="70" ht="15">
      <c r="D70" s="185"/>
    </row>
  </sheetData>
  <sheetProtection password="D8FF" sheet="1"/>
  <mergeCells count="6">
    <mergeCell ref="D21:E21"/>
    <mergeCell ref="D19:E19"/>
    <mergeCell ref="D20:E20"/>
    <mergeCell ref="B1:F1"/>
    <mergeCell ref="B2:F2"/>
    <mergeCell ref="B3:F3"/>
  </mergeCells>
  <printOptions/>
  <pageMargins left="0.5" right="0.5" top="0.5" bottom="0.5" header="0.5" footer="0.5"/>
  <pageSetup fitToHeight="1" fitToWidth="1" horizontalDpi="300" verticalDpi="3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10" sqref="G10"/>
    </sheetView>
  </sheetViews>
  <sheetFormatPr defaultColWidth="8.88671875" defaultRowHeight="15"/>
  <cols>
    <col min="1" max="1" width="3.88671875" style="0" customWidth="1"/>
    <col min="2" max="11" width="6.77734375" style="0" customWidth="1"/>
    <col min="12" max="59" width="7.77734375" style="0" customWidth="1"/>
  </cols>
  <sheetData>
    <row r="1" spans="5:8" ht="15.75">
      <c r="E1" s="42" t="s">
        <v>104</v>
      </c>
      <c r="F1" s="43"/>
      <c r="H1" s="34"/>
    </row>
    <row r="2" spans="4:9" ht="18">
      <c r="D2" s="47"/>
      <c r="E2" s="39" t="s">
        <v>6</v>
      </c>
      <c r="F2" s="48">
        <f>IF('Mix Info'!B4="","",('Mix Info'!B4))</f>
      </c>
      <c r="G2" s="47"/>
      <c r="I2" s="40" t="s">
        <v>94</v>
      </c>
    </row>
    <row r="3" spans="4:7" ht="15">
      <c r="D3" s="47"/>
      <c r="E3" s="39" t="s">
        <v>96</v>
      </c>
      <c r="F3" s="201" t="str">
        <f>IF('Mix Info'!B21="","",'Mix Info'!B21)</f>
        <v>SCC</v>
      </c>
      <c r="G3" s="200"/>
    </row>
    <row r="4" spans="4:7" ht="15">
      <c r="D4" s="47"/>
      <c r="E4" s="39" t="s">
        <v>13</v>
      </c>
      <c r="F4" s="49">
        <f>'E820150A'!B34</f>
        <v>704</v>
      </c>
      <c r="G4" s="47"/>
    </row>
    <row r="5" spans="4:7" ht="15">
      <c r="D5" s="47"/>
      <c r="E5" s="39" t="s">
        <v>14</v>
      </c>
      <c r="F5" s="49">
        <f>'E820150A'!B35</f>
        <v>0</v>
      </c>
      <c r="G5" s="47"/>
    </row>
    <row r="6" spans="4:7" ht="15">
      <c r="D6" s="47"/>
      <c r="E6" s="39" t="s">
        <v>17</v>
      </c>
      <c r="F6" s="49">
        <f>'E820150A'!B36</f>
        <v>0</v>
      </c>
      <c r="G6" s="47"/>
    </row>
    <row r="7" spans="4:7" ht="15">
      <c r="D7" s="47"/>
      <c r="E7" s="39" t="s">
        <v>15</v>
      </c>
      <c r="F7" s="49">
        <f>'E820150A'!B38</f>
        <v>1429</v>
      </c>
      <c r="G7" s="47"/>
    </row>
    <row r="8" spans="4:7" ht="15">
      <c r="D8" s="47"/>
      <c r="E8" s="39" t="s">
        <v>19</v>
      </c>
      <c r="F8" s="49">
        <f>'E820150A'!B39</f>
      </c>
      <c r="G8" s="47"/>
    </row>
    <row r="9" spans="4:7" ht="15">
      <c r="D9" s="47"/>
      <c r="E9" s="39" t="s">
        <v>16</v>
      </c>
      <c r="F9" s="49">
        <f>'E820150A'!B40</f>
        <v>1429</v>
      </c>
      <c r="G9" s="38" t="s">
        <v>97</v>
      </c>
    </row>
    <row r="10" spans="4:7" ht="15">
      <c r="D10" s="47"/>
      <c r="E10" s="50" t="s">
        <v>107</v>
      </c>
      <c r="F10" s="51">
        <f>'E820150A'!B37</f>
        <v>281.6</v>
      </c>
      <c r="G10" s="37">
        <f>IF('E820150A'!C37="","",'E820150A'!C37)</f>
        <v>0.4</v>
      </c>
    </row>
    <row r="11" spans="4:10" ht="15">
      <c r="D11" s="47"/>
      <c r="E11" s="50" t="s">
        <v>108</v>
      </c>
      <c r="F11" s="51">
        <f>IF(F3="","",(F4+F5+F6)*G11)</f>
        <v>316.8</v>
      </c>
      <c r="G11" s="37">
        <f>IF(F3="","",'E820150A'!D37)</f>
        <v>0.45</v>
      </c>
      <c r="J11" s="55"/>
    </row>
    <row r="13" spans="1:11" ht="15">
      <c r="A13" s="45"/>
      <c r="B13" s="45" t="s">
        <v>105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s="44" customFormat="1" ht="15">
      <c r="A14" s="46"/>
      <c r="B14" s="56">
        <v>0</v>
      </c>
      <c r="C14" s="56">
        <v>0.1</v>
      </c>
      <c r="D14" s="56">
        <v>0.2</v>
      </c>
      <c r="E14" s="56">
        <v>0.3</v>
      </c>
      <c r="F14" s="56">
        <v>0.4</v>
      </c>
      <c r="G14" s="56">
        <v>0.5</v>
      </c>
      <c r="H14" s="56">
        <v>0.6</v>
      </c>
      <c r="I14" s="56">
        <v>0.7</v>
      </c>
      <c r="J14" s="56">
        <v>0.8</v>
      </c>
      <c r="K14" s="56">
        <v>0.9</v>
      </c>
    </row>
    <row r="15" spans="1:11" ht="15">
      <c r="A15" s="57">
        <v>0</v>
      </c>
      <c r="B15" s="86">
        <f>+F7</f>
        <v>1429</v>
      </c>
      <c r="C15" s="86">
        <f aca="true" t="shared" si="0" ref="C15:C21">IF($B$15="","",$B$15/(1-($A15+C$14)/100))</f>
        <v>1430.4304304304305</v>
      </c>
      <c r="D15" s="86">
        <f aca="true" t="shared" si="1" ref="D15:K21">IF($B$15="","",$B$15/(1-($A15+D$14)/100))</f>
        <v>1431.8637274549098</v>
      </c>
      <c r="E15" s="86">
        <f t="shared" si="1"/>
        <v>1433.2998996990973</v>
      </c>
      <c r="F15" s="86">
        <f t="shared" si="1"/>
        <v>1434.7389558232933</v>
      </c>
      <c r="G15" s="86">
        <f t="shared" si="1"/>
        <v>1436.180904522613</v>
      </c>
      <c r="H15" s="86">
        <f t="shared" si="1"/>
        <v>1437.625754527163</v>
      </c>
      <c r="I15" s="86">
        <f t="shared" si="1"/>
        <v>1439.0735146022155</v>
      </c>
      <c r="J15" s="86">
        <f t="shared" si="1"/>
        <v>1440.524193548387</v>
      </c>
      <c r="K15" s="86">
        <f t="shared" si="1"/>
        <v>1441.9778002018163</v>
      </c>
    </row>
    <row r="16" spans="1:11" ht="15">
      <c r="A16" s="56">
        <v>1</v>
      </c>
      <c r="B16" s="59">
        <f aca="true" t="shared" si="2" ref="B16:B21">IF($B$15="","",$B$15/(1-($A16+B$14)/100))</f>
        <v>1443.4343434343434</v>
      </c>
      <c r="C16" s="59">
        <f t="shared" si="0"/>
        <v>1444.8938321536907</v>
      </c>
      <c r="D16" s="59">
        <f t="shared" si="1"/>
        <v>1446.3562753036438</v>
      </c>
      <c r="E16" s="59">
        <f t="shared" si="1"/>
        <v>1447.821681864235</v>
      </c>
      <c r="F16" s="59">
        <f t="shared" si="1"/>
        <v>1449.290060851927</v>
      </c>
      <c r="G16" s="59">
        <f t="shared" si="1"/>
        <v>1450.761421319797</v>
      </c>
      <c r="H16" s="59">
        <f t="shared" si="1"/>
        <v>1452.2357723577236</v>
      </c>
      <c r="I16" s="59">
        <f t="shared" si="1"/>
        <v>1453.7131230925738</v>
      </c>
      <c r="J16" s="59">
        <f t="shared" si="1"/>
        <v>1455.193482688391</v>
      </c>
      <c r="K16" s="84">
        <f t="shared" si="1"/>
        <v>1456.676860346585</v>
      </c>
    </row>
    <row r="17" spans="1:11" ht="15">
      <c r="A17" s="56">
        <v>2</v>
      </c>
      <c r="B17" s="59">
        <f t="shared" si="2"/>
        <v>1458.1632653061224</v>
      </c>
      <c r="C17" s="59">
        <f t="shared" si="0"/>
        <v>1459.652706843718</v>
      </c>
      <c r="D17" s="59">
        <f t="shared" si="1"/>
        <v>1461.1451942740287</v>
      </c>
      <c r="E17" s="59">
        <f t="shared" si="1"/>
        <v>1462.6407369498465</v>
      </c>
      <c r="F17" s="59">
        <f t="shared" si="1"/>
        <v>1464.139344262295</v>
      </c>
      <c r="G17" s="59">
        <f t="shared" si="1"/>
        <v>1465.6410256410256</v>
      </c>
      <c r="H17" s="59">
        <f t="shared" si="1"/>
        <v>1467.1457905544148</v>
      </c>
      <c r="I17" s="59">
        <f t="shared" si="1"/>
        <v>1468.6536485097636</v>
      </c>
      <c r="J17" s="59">
        <f t="shared" si="1"/>
        <v>1470.164609053498</v>
      </c>
      <c r="K17" s="84">
        <f t="shared" si="1"/>
        <v>1471.6786817713698</v>
      </c>
    </row>
    <row r="18" spans="1:11" ht="15">
      <c r="A18" s="56">
        <v>3</v>
      </c>
      <c r="B18" s="59">
        <f t="shared" si="2"/>
        <v>1473.1958762886597</v>
      </c>
      <c r="C18" s="59">
        <f t="shared" si="0"/>
        <v>1474.716202270382</v>
      </c>
      <c r="D18" s="59">
        <f t="shared" si="1"/>
        <v>1476.2396694214876</v>
      </c>
      <c r="E18" s="59">
        <f t="shared" si="1"/>
        <v>1477.7662874870734</v>
      </c>
      <c r="F18" s="59">
        <f t="shared" si="1"/>
        <v>1479.296066252588</v>
      </c>
      <c r="G18" s="59">
        <f t="shared" si="1"/>
        <v>1480.8290155440416</v>
      </c>
      <c r="H18" s="59">
        <f t="shared" si="1"/>
        <v>1482.3651452282159</v>
      </c>
      <c r="I18" s="59">
        <f t="shared" si="1"/>
        <v>1483.9044652128764</v>
      </c>
      <c r="J18" s="59">
        <f t="shared" si="1"/>
        <v>1485.4469854469855</v>
      </c>
      <c r="K18" s="84">
        <f t="shared" si="1"/>
        <v>1486.9927159209158</v>
      </c>
    </row>
    <row r="19" spans="1:11" ht="15">
      <c r="A19" s="56">
        <v>4</v>
      </c>
      <c r="B19" s="59">
        <f t="shared" si="2"/>
        <v>1488.5416666666667</v>
      </c>
      <c r="C19" s="59">
        <f t="shared" si="0"/>
        <v>1490.0938477580814</v>
      </c>
      <c r="D19" s="59">
        <f t="shared" si="1"/>
        <v>1491.6492693110647</v>
      </c>
      <c r="E19" s="59">
        <f t="shared" si="1"/>
        <v>1493.2079414838036</v>
      </c>
      <c r="F19" s="59">
        <f t="shared" si="1"/>
        <v>1494.7698744769875</v>
      </c>
      <c r="G19" s="59">
        <f t="shared" si="1"/>
        <v>1496.3350785340315</v>
      </c>
      <c r="H19" s="59">
        <f t="shared" si="1"/>
        <v>1497.9035639412998</v>
      </c>
      <c r="I19" s="59">
        <f t="shared" si="1"/>
        <v>1499.4753410283317</v>
      </c>
      <c r="J19" s="59">
        <f t="shared" si="1"/>
        <v>1501.0504201680674</v>
      </c>
      <c r="K19" s="84">
        <f t="shared" si="1"/>
        <v>1502.6288117770769</v>
      </c>
    </row>
    <row r="20" spans="1:11" ht="15">
      <c r="A20" s="56">
        <v>5</v>
      </c>
      <c r="B20" s="59">
        <f t="shared" si="2"/>
        <v>1504.2105263157896</v>
      </c>
      <c r="C20" s="59">
        <f t="shared" si="0"/>
        <v>1505.795574288725</v>
      </c>
      <c r="D20" s="59">
        <f t="shared" si="1"/>
        <v>1507.3839662447258</v>
      </c>
      <c r="E20" s="59">
        <f t="shared" si="1"/>
        <v>1508.9757127771911</v>
      </c>
      <c r="F20" s="59">
        <f t="shared" si="1"/>
        <v>1510.570824524313</v>
      </c>
      <c r="G20" s="59">
        <f t="shared" si="1"/>
        <v>1512.1693121693122</v>
      </c>
      <c r="H20" s="59">
        <f t="shared" si="1"/>
        <v>1513.771186440678</v>
      </c>
      <c r="I20" s="59">
        <f t="shared" si="1"/>
        <v>1515.3764581124074</v>
      </c>
      <c r="J20" s="59">
        <f t="shared" si="1"/>
        <v>1516.9851380042464</v>
      </c>
      <c r="K20" s="84">
        <f t="shared" si="1"/>
        <v>1518.5972369819342</v>
      </c>
    </row>
    <row r="21" spans="1:11" ht="15">
      <c r="A21" s="56">
        <v>6</v>
      </c>
      <c r="B21" s="60">
        <f t="shared" si="2"/>
        <v>1520.212765957447</v>
      </c>
      <c r="C21" s="60">
        <f t="shared" si="0"/>
        <v>1521.8317358892439</v>
      </c>
      <c r="D21" s="60">
        <f t="shared" si="1"/>
        <v>1523.4541577825162</v>
      </c>
      <c r="E21" s="60">
        <f t="shared" si="1"/>
        <v>1525.0800426894343</v>
      </c>
      <c r="F21" s="60">
        <f t="shared" si="1"/>
        <v>1526.7094017094018</v>
      </c>
      <c r="G21" s="60">
        <f t="shared" si="1"/>
        <v>1528.3422459893047</v>
      </c>
      <c r="H21" s="60">
        <f t="shared" si="1"/>
        <v>1529.9785867237688</v>
      </c>
      <c r="I21" s="60">
        <f t="shared" si="1"/>
        <v>1531.6184351554125</v>
      </c>
      <c r="J21" s="60">
        <f t="shared" si="1"/>
        <v>1533.2618025751074</v>
      </c>
      <c r="K21" s="85">
        <f t="shared" si="1"/>
        <v>1534.9087003222342</v>
      </c>
    </row>
    <row r="22" spans="1:11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5">
      <c r="A23" s="45"/>
      <c r="B23" s="45" t="s">
        <v>106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5">
      <c r="A24" s="46"/>
      <c r="B24" s="56">
        <v>0</v>
      </c>
      <c r="C24" s="56">
        <v>0.1</v>
      </c>
      <c r="D24" s="56">
        <v>0.2</v>
      </c>
      <c r="E24" s="56">
        <v>0.3</v>
      </c>
      <c r="F24" s="56">
        <v>0.4</v>
      </c>
      <c r="G24" s="56">
        <v>0.5</v>
      </c>
      <c r="H24" s="56">
        <v>0.6</v>
      </c>
      <c r="I24" s="56">
        <v>0.7</v>
      </c>
      <c r="J24" s="56">
        <v>0.8</v>
      </c>
      <c r="K24" s="56">
        <v>0.9</v>
      </c>
    </row>
    <row r="25" spans="1:11" ht="15">
      <c r="A25" s="57">
        <v>0</v>
      </c>
      <c r="B25" s="58">
        <f>F9</f>
        <v>1429</v>
      </c>
      <c r="C25" s="86">
        <f aca="true" t="shared" si="3" ref="C25:C31">IF($B$25="","",$B$25/(1-($A25+C$14)/100))</f>
        <v>1430.4304304304305</v>
      </c>
      <c r="D25" s="86">
        <f aca="true" t="shared" si="4" ref="D25:K31">IF($B$25="","",$B$25/(1-($A25+D$14)/100))</f>
        <v>1431.8637274549098</v>
      </c>
      <c r="E25" s="86">
        <f t="shared" si="4"/>
        <v>1433.2998996990973</v>
      </c>
      <c r="F25" s="86">
        <f t="shared" si="4"/>
        <v>1434.7389558232933</v>
      </c>
      <c r="G25" s="86">
        <f t="shared" si="4"/>
        <v>1436.180904522613</v>
      </c>
      <c r="H25" s="86">
        <f t="shared" si="4"/>
        <v>1437.625754527163</v>
      </c>
      <c r="I25" s="86">
        <f t="shared" si="4"/>
        <v>1439.0735146022155</v>
      </c>
      <c r="J25" s="86">
        <f t="shared" si="4"/>
        <v>1440.524193548387</v>
      </c>
      <c r="K25" s="86">
        <f t="shared" si="4"/>
        <v>1441.9778002018163</v>
      </c>
    </row>
    <row r="26" spans="1:11" ht="15">
      <c r="A26" s="56">
        <v>1</v>
      </c>
      <c r="B26" s="59">
        <f aca="true" t="shared" si="5" ref="B26:B31">IF($B$25="","",$B$25/(1-($A26+B$14)/100))</f>
        <v>1443.4343434343434</v>
      </c>
      <c r="C26" s="59">
        <f t="shared" si="3"/>
        <v>1444.8938321536907</v>
      </c>
      <c r="D26" s="59">
        <f t="shared" si="4"/>
        <v>1446.3562753036438</v>
      </c>
      <c r="E26" s="59">
        <f t="shared" si="4"/>
        <v>1447.821681864235</v>
      </c>
      <c r="F26" s="59">
        <f t="shared" si="4"/>
        <v>1449.290060851927</v>
      </c>
      <c r="G26" s="59">
        <f t="shared" si="4"/>
        <v>1450.761421319797</v>
      </c>
      <c r="H26" s="59">
        <f t="shared" si="4"/>
        <v>1452.2357723577236</v>
      </c>
      <c r="I26" s="59">
        <f t="shared" si="4"/>
        <v>1453.7131230925738</v>
      </c>
      <c r="J26" s="59">
        <f t="shared" si="4"/>
        <v>1455.193482688391</v>
      </c>
      <c r="K26" s="84">
        <f t="shared" si="4"/>
        <v>1456.676860346585</v>
      </c>
    </row>
    <row r="27" spans="1:11" ht="15">
      <c r="A27" s="56">
        <v>2</v>
      </c>
      <c r="B27" s="59">
        <f t="shared" si="5"/>
        <v>1458.1632653061224</v>
      </c>
      <c r="C27" s="59">
        <f t="shared" si="3"/>
        <v>1459.652706843718</v>
      </c>
      <c r="D27" s="59">
        <f t="shared" si="4"/>
        <v>1461.1451942740287</v>
      </c>
      <c r="E27" s="59">
        <f t="shared" si="4"/>
        <v>1462.6407369498465</v>
      </c>
      <c r="F27" s="59">
        <f t="shared" si="4"/>
        <v>1464.139344262295</v>
      </c>
      <c r="G27" s="59">
        <f t="shared" si="4"/>
        <v>1465.6410256410256</v>
      </c>
      <c r="H27" s="59">
        <f t="shared" si="4"/>
        <v>1467.1457905544148</v>
      </c>
      <c r="I27" s="59">
        <f t="shared" si="4"/>
        <v>1468.6536485097636</v>
      </c>
      <c r="J27" s="59">
        <f t="shared" si="4"/>
        <v>1470.164609053498</v>
      </c>
      <c r="K27" s="84">
        <f t="shared" si="4"/>
        <v>1471.6786817713698</v>
      </c>
    </row>
    <row r="28" spans="1:11" ht="15">
      <c r="A28" s="56">
        <v>3</v>
      </c>
      <c r="B28" s="59">
        <f t="shared" si="5"/>
        <v>1473.1958762886597</v>
      </c>
      <c r="C28" s="59">
        <f t="shared" si="3"/>
        <v>1474.716202270382</v>
      </c>
      <c r="D28" s="59">
        <f t="shared" si="4"/>
        <v>1476.2396694214876</v>
      </c>
      <c r="E28" s="59">
        <f t="shared" si="4"/>
        <v>1477.7662874870734</v>
      </c>
      <c r="F28" s="59">
        <f t="shared" si="4"/>
        <v>1479.296066252588</v>
      </c>
      <c r="G28" s="59">
        <f t="shared" si="4"/>
        <v>1480.8290155440416</v>
      </c>
      <c r="H28" s="59">
        <f t="shared" si="4"/>
        <v>1482.3651452282159</v>
      </c>
      <c r="I28" s="59">
        <f t="shared" si="4"/>
        <v>1483.9044652128764</v>
      </c>
      <c r="J28" s="59">
        <f t="shared" si="4"/>
        <v>1485.4469854469855</v>
      </c>
      <c r="K28" s="84">
        <f t="shared" si="4"/>
        <v>1486.9927159209158</v>
      </c>
    </row>
    <row r="29" spans="1:11" ht="15">
      <c r="A29" s="56">
        <v>4</v>
      </c>
      <c r="B29" s="59">
        <f t="shared" si="5"/>
        <v>1488.5416666666667</v>
      </c>
      <c r="C29" s="59">
        <f t="shared" si="3"/>
        <v>1490.0938477580814</v>
      </c>
      <c r="D29" s="59">
        <f t="shared" si="4"/>
        <v>1491.6492693110647</v>
      </c>
      <c r="E29" s="59">
        <f t="shared" si="4"/>
        <v>1493.2079414838036</v>
      </c>
      <c r="F29" s="59">
        <f t="shared" si="4"/>
        <v>1494.7698744769875</v>
      </c>
      <c r="G29" s="59">
        <f t="shared" si="4"/>
        <v>1496.3350785340315</v>
      </c>
      <c r="H29" s="59">
        <f t="shared" si="4"/>
        <v>1497.9035639412998</v>
      </c>
      <c r="I29" s="59">
        <f t="shared" si="4"/>
        <v>1499.4753410283317</v>
      </c>
      <c r="J29" s="59">
        <f t="shared" si="4"/>
        <v>1501.0504201680674</v>
      </c>
      <c r="K29" s="84">
        <f t="shared" si="4"/>
        <v>1502.6288117770769</v>
      </c>
    </row>
    <row r="30" spans="1:11" ht="15">
      <c r="A30" s="56">
        <v>5</v>
      </c>
      <c r="B30" s="59">
        <f t="shared" si="5"/>
        <v>1504.2105263157896</v>
      </c>
      <c r="C30" s="59">
        <f t="shared" si="3"/>
        <v>1505.795574288725</v>
      </c>
      <c r="D30" s="59">
        <f t="shared" si="4"/>
        <v>1507.3839662447258</v>
      </c>
      <c r="E30" s="59">
        <f t="shared" si="4"/>
        <v>1508.9757127771911</v>
      </c>
      <c r="F30" s="59">
        <f t="shared" si="4"/>
        <v>1510.570824524313</v>
      </c>
      <c r="G30" s="59">
        <f t="shared" si="4"/>
        <v>1512.1693121693122</v>
      </c>
      <c r="H30" s="59">
        <f t="shared" si="4"/>
        <v>1513.771186440678</v>
      </c>
      <c r="I30" s="59">
        <f t="shared" si="4"/>
        <v>1515.3764581124074</v>
      </c>
      <c r="J30" s="59">
        <f t="shared" si="4"/>
        <v>1516.9851380042464</v>
      </c>
      <c r="K30" s="84">
        <f t="shared" si="4"/>
        <v>1518.5972369819342</v>
      </c>
    </row>
    <row r="31" spans="1:11" ht="15">
      <c r="A31" s="56">
        <v>6</v>
      </c>
      <c r="B31" s="60">
        <f t="shared" si="5"/>
        <v>1520.212765957447</v>
      </c>
      <c r="C31" s="60">
        <f t="shared" si="3"/>
        <v>1521.8317358892439</v>
      </c>
      <c r="D31" s="60">
        <f t="shared" si="4"/>
        <v>1523.4541577825162</v>
      </c>
      <c r="E31" s="60">
        <f t="shared" si="4"/>
        <v>1525.0800426894343</v>
      </c>
      <c r="F31" s="60">
        <f t="shared" si="4"/>
        <v>1526.7094017094018</v>
      </c>
      <c r="G31" s="60">
        <f t="shared" si="4"/>
        <v>1528.3422459893047</v>
      </c>
      <c r="H31" s="60">
        <f t="shared" si="4"/>
        <v>1529.9785867237688</v>
      </c>
      <c r="I31" s="60">
        <f t="shared" si="4"/>
        <v>1531.6184351554125</v>
      </c>
      <c r="J31" s="60">
        <f t="shared" si="4"/>
        <v>1533.2618025751074</v>
      </c>
      <c r="K31" s="85">
        <f t="shared" si="4"/>
        <v>1534.9087003222342</v>
      </c>
    </row>
    <row r="32" spans="1:11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5">
      <c r="A33" s="45"/>
      <c r="B33" s="45" t="s">
        <v>111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5">
      <c r="A34" s="46"/>
      <c r="B34" s="56">
        <v>0</v>
      </c>
      <c r="C34" s="56">
        <v>0.1</v>
      </c>
      <c r="D34" s="56">
        <v>0.2</v>
      </c>
      <c r="E34" s="56">
        <v>0.3</v>
      </c>
      <c r="F34" s="56">
        <v>0.4</v>
      </c>
      <c r="G34" s="56">
        <v>0.5</v>
      </c>
      <c r="H34" s="56">
        <v>0.6</v>
      </c>
      <c r="I34" s="56">
        <v>0.7</v>
      </c>
      <c r="J34" s="56">
        <v>0.8</v>
      </c>
      <c r="K34" s="56">
        <v>0.9</v>
      </c>
    </row>
    <row r="35" spans="1:11" ht="15">
      <c r="A35" s="57">
        <v>0</v>
      </c>
      <c r="B35" s="58">
        <f>F8</f>
      </c>
      <c r="C35" s="86">
        <f aca="true" t="shared" si="6" ref="C35:C41">IF($B$35="","",$B$35/(1-($A35+C$14)/100))</f>
      </c>
      <c r="D35" s="86">
        <f aca="true" t="shared" si="7" ref="D35:K41">IF($B$35="","",$B$35/(1-($A35+D$14)/100))</f>
      </c>
      <c r="E35" s="86">
        <f t="shared" si="7"/>
      </c>
      <c r="F35" s="86">
        <f t="shared" si="7"/>
      </c>
      <c r="G35" s="86">
        <f t="shared" si="7"/>
      </c>
      <c r="H35" s="86">
        <f t="shared" si="7"/>
      </c>
      <c r="I35" s="86">
        <f t="shared" si="7"/>
      </c>
      <c r="J35" s="86">
        <f t="shared" si="7"/>
      </c>
      <c r="K35" s="86">
        <f t="shared" si="7"/>
      </c>
    </row>
    <row r="36" spans="1:11" ht="15">
      <c r="A36" s="56">
        <v>1</v>
      </c>
      <c r="B36" s="59">
        <f aca="true" t="shared" si="8" ref="B36:B41">IF($B$35="","",$B$35/(1-($A36+B$14)/100))</f>
      </c>
      <c r="C36" s="59">
        <f t="shared" si="6"/>
      </c>
      <c r="D36" s="59">
        <f t="shared" si="7"/>
      </c>
      <c r="E36" s="59">
        <f t="shared" si="7"/>
      </c>
      <c r="F36" s="59">
        <f t="shared" si="7"/>
      </c>
      <c r="G36" s="59">
        <f t="shared" si="7"/>
      </c>
      <c r="H36" s="59">
        <f t="shared" si="7"/>
      </c>
      <c r="I36" s="59">
        <f t="shared" si="7"/>
      </c>
      <c r="J36" s="59">
        <f t="shared" si="7"/>
      </c>
      <c r="K36" s="84">
        <f t="shared" si="7"/>
      </c>
    </row>
    <row r="37" spans="1:11" ht="15">
      <c r="A37" s="56">
        <v>2</v>
      </c>
      <c r="B37" s="59">
        <f t="shared" si="8"/>
      </c>
      <c r="C37" s="59">
        <f t="shared" si="6"/>
      </c>
      <c r="D37" s="59">
        <f t="shared" si="7"/>
      </c>
      <c r="E37" s="59">
        <f t="shared" si="7"/>
      </c>
      <c r="F37" s="59">
        <f t="shared" si="7"/>
      </c>
      <c r="G37" s="59">
        <f t="shared" si="7"/>
      </c>
      <c r="H37" s="59">
        <f t="shared" si="7"/>
      </c>
      <c r="I37" s="59">
        <f t="shared" si="7"/>
      </c>
      <c r="J37" s="59">
        <f t="shared" si="7"/>
      </c>
      <c r="K37" s="84">
        <f t="shared" si="7"/>
      </c>
    </row>
    <row r="38" spans="1:11" ht="15">
      <c r="A38" s="56">
        <v>3</v>
      </c>
      <c r="B38" s="59">
        <f t="shared" si="8"/>
      </c>
      <c r="C38" s="59">
        <f t="shared" si="6"/>
      </c>
      <c r="D38" s="59">
        <f t="shared" si="7"/>
      </c>
      <c r="E38" s="59">
        <f t="shared" si="7"/>
      </c>
      <c r="F38" s="59">
        <f t="shared" si="7"/>
      </c>
      <c r="G38" s="59">
        <f t="shared" si="7"/>
      </c>
      <c r="H38" s="59">
        <f t="shared" si="7"/>
      </c>
      <c r="I38" s="59">
        <f t="shared" si="7"/>
      </c>
      <c r="J38" s="59">
        <f t="shared" si="7"/>
      </c>
      <c r="K38" s="84">
        <f t="shared" si="7"/>
      </c>
    </row>
    <row r="39" spans="1:11" ht="15">
      <c r="A39" s="56">
        <v>4</v>
      </c>
      <c r="B39" s="59">
        <f t="shared" si="8"/>
      </c>
      <c r="C39" s="59">
        <f t="shared" si="6"/>
      </c>
      <c r="D39" s="59">
        <f t="shared" si="7"/>
      </c>
      <c r="E39" s="59">
        <f t="shared" si="7"/>
      </c>
      <c r="F39" s="59">
        <f t="shared" si="7"/>
      </c>
      <c r="G39" s="59">
        <f t="shared" si="7"/>
      </c>
      <c r="H39" s="59">
        <f t="shared" si="7"/>
      </c>
      <c r="I39" s="59">
        <f t="shared" si="7"/>
      </c>
      <c r="J39" s="59">
        <f t="shared" si="7"/>
      </c>
      <c r="K39" s="84">
        <f t="shared" si="7"/>
      </c>
    </row>
    <row r="40" spans="1:11" ht="15">
      <c r="A40" s="56">
        <v>5</v>
      </c>
      <c r="B40" s="59">
        <f t="shared" si="8"/>
      </c>
      <c r="C40" s="59">
        <f t="shared" si="6"/>
      </c>
      <c r="D40" s="59">
        <f t="shared" si="7"/>
      </c>
      <c r="E40" s="59">
        <f t="shared" si="7"/>
      </c>
      <c r="F40" s="59">
        <f t="shared" si="7"/>
      </c>
      <c r="G40" s="59">
        <f t="shared" si="7"/>
      </c>
      <c r="H40" s="59">
        <f t="shared" si="7"/>
      </c>
      <c r="I40" s="59">
        <f t="shared" si="7"/>
      </c>
      <c r="J40" s="59">
        <f t="shared" si="7"/>
      </c>
      <c r="K40" s="84">
        <f t="shared" si="7"/>
      </c>
    </row>
    <row r="41" spans="1:11" ht="15">
      <c r="A41" s="56">
        <v>6</v>
      </c>
      <c r="B41" s="60">
        <f t="shared" si="8"/>
      </c>
      <c r="C41" s="60">
        <f t="shared" si="6"/>
      </c>
      <c r="D41" s="60">
        <f t="shared" si="7"/>
      </c>
      <c r="E41" s="60">
        <f t="shared" si="7"/>
      </c>
      <c r="F41" s="60">
        <f t="shared" si="7"/>
      </c>
      <c r="G41" s="60">
        <f t="shared" si="7"/>
      </c>
      <c r="H41" s="60">
        <f t="shared" si="7"/>
      </c>
      <c r="I41" s="60">
        <f t="shared" si="7"/>
      </c>
      <c r="J41" s="60">
        <f t="shared" si="7"/>
      </c>
      <c r="K41" s="85">
        <f t="shared" si="7"/>
      </c>
    </row>
  </sheetData>
  <sheetProtection password="D8FF" sheet="1" objects="1" scenarios="1"/>
  <mergeCells count="1">
    <mergeCell ref="F3:G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4" sqref="F4"/>
    </sheetView>
  </sheetViews>
  <sheetFormatPr defaultColWidth="8.88671875" defaultRowHeight="15"/>
  <cols>
    <col min="1" max="1" width="4.21484375" style="0" customWidth="1"/>
    <col min="2" max="11" width="6.77734375" style="0" customWidth="1"/>
    <col min="12" max="15" width="7.77734375" style="0" customWidth="1"/>
  </cols>
  <sheetData>
    <row r="1" ht="15.75">
      <c r="E1" s="42" t="s">
        <v>112</v>
      </c>
    </row>
    <row r="2" spans="3:9" ht="18">
      <c r="C2" s="47"/>
      <c r="D2" s="47"/>
      <c r="E2" s="39" t="s">
        <v>6</v>
      </c>
      <c r="F2" s="52">
        <f>IF('Mix Info'!B4="","",('Mix Info'!B4))</f>
      </c>
      <c r="G2" s="47"/>
      <c r="I2" s="41" t="s">
        <v>95</v>
      </c>
    </row>
    <row r="3" spans="3:7" ht="15">
      <c r="C3" s="47"/>
      <c r="D3" s="47"/>
      <c r="E3" s="39" t="s">
        <v>96</v>
      </c>
      <c r="F3" s="202" t="str">
        <f>IF('Mix Info'!B21="","",'Mix Info'!B21)</f>
        <v>SCC</v>
      </c>
      <c r="G3" s="203"/>
    </row>
    <row r="4" spans="3:7" ht="15">
      <c r="C4" s="47"/>
      <c r="D4" s="47"/>
      <c r="E4" s="39" t="s">
        <v>98</v>
      </c>
      <c r="F4" s="53">
        <f>IF('Batch Wts. English'!F4="","",'Batch Wts. English'!F4*0.5935)</f>
        <v>417.824</v>
      </c>
      <c r="G4" s="47"/>
    </row>
    <row r="5" spans="3:7" ht="15">
      <c r="C5" s="47"/>
      <c r="D5" s="47"/>
      <c r="E5" s="39" t="s">
        <v>99</v>
      </c>
      <c r="F5" s="53">
        <f>IF('Batch Wts. English'!F5="","",'Batch Wts. English'!F5*0.5935)</f>
        <v>0</v>
      </c>
      <c r="G5" s="47"/>
    </row>
    <row r="6" spans="3:7" ht="15">
      <c r="C6" s="47"/>
      <c r="D6" s="47"/>
      <c r="E6" s="39" t="s">
        <v>100</v>
      </c>
      <c r="F6" s="53">
        <f>IF('Batch Wts. English'!F6="","",'Batch Wts. English'!F6*0.5935)</f>
        <v>0</v>
      </c>
      <c r="G6" s="47"/>
    </row>
    <row r="7" spans="3:7" ht="15">
      <c r="C7" s="47"/>
      <c r="D7" s="47"/>
      <c r="E7" s="39" t="s">
        <v>101</v>
      </c>
      <c r="F7" s="53">
        <f>IF('Batch Wts. English'!F7="","",'Batch Wts. English'!F7*0.5935)</f>
        <v>848.1115000000001</v>
      </c>
      <c r="G7" s="47"/>
    </row>
    <row r="8" spans="3:7" ht="15">
      <c r="C8" s="47"/>
      <c r="D8" s="47"/>
      <c r="E8" s="39" t="s">
        <v>102</v>
      </c>
      <c r="F8" s="53">
        <f>IF('Batch Wts. English'!F8="","",'Batch Wts. English'!F8*0.5935)</f>
      </c>
      <c r="G8" s="47"/>
    </row>
    <row r="9" spans="3:7" ht="15">
      <c r="C9" s="47"/>
      <c r="D9" s="47"/>
      <c r="E9" s="39" t="s">
        <v>103</v>
      </c>
      <c r="F9" s="53">
        <f>IF('Batch Wts. English'!F9="","",'Batch Wts. English'!F9*0.5935)</f>
        <v>848.1115000000001</v>
      </c>
      <c r="G9" s="38" t="s">
        <v>97</v>
      </c>
    </row>
    <row r="10" spans="3:7" ht="15">
      <c r="C10" s="47"/>
      <c r="D10" s="47"/>
      <c r="E10" s="50" t="s">
        <v>109</v>
      </c>
      <c r="F10" s="54">
        <f>IF('E820150A'!B37="","",'E820150A'!B37*0.5935)</f>
        <v>167.1296</v>
      </c>
      <c r="G10" s="37">
        <f>IF('E820150A'!C37="","",'E820150A'!C37)</f>
        <v>0.4</v>
      </c>
    </row>
    <row r="11" spans="3:7" ht="15">
      <c r="C11" s="47"/>
      <c r="D11" s="47"/>
      <c r="E11" s="50" t="s">
        <v>110</v>
      </c>
      <c r="F11" s="54">
        <f>IF(F3="","",(F4+F5+F6)*G11)</f>
        <v>188.0208</v>
      </c>
      <c r="G11" s="37">
        <f>IF(F3="","",'E820150A'!D37)</f>
        <v>0.45</v>
      </c>
    </row>
    <row r="13" spans="1:11" ht="15">
      <c r="A13" s="45"/>
      <c r="B13" s="45" t="s">
        <v>105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>
      <c r="A14" s="46"/>
      <c r="B14" s="56">
        <v>0</v>
      </c>
      <c r="C14" s="56">
        <v>0.1</v>
      </c>
      <c r="D14" s="56">
        <v>0.2</v>
      </c>
      <c r="E14" s="56">
        <v>0.3</v>
      </c>
      <c r="F14" s="56">
        <v>0.4</v>
      </c>
      <c r="G14" s="56">
        <v>0.5</v>
      </c>
      <c r="H14" s="56">
        <v>0.6</v>
      </c>
      <c r="I14" s="56">
        <v>0.7</v>
      </c>
      <c r="J14" s="56">
        <v>0.8</v>
      </c>
      <c r="K14" s="56">
        <v>0.9</v>
      </c>
    </row>
    <row r="15" spans="1:11" ht="15">
      <c r="A15" s="57">
        <v>0</v>
      </c>
      <c r="B15" s="86">
        <f>+F7</f>
        <v>848.1115000000001</v>
      </c>
      <c r="C15" s="86">
        <f aca="true" t="shared" si="0" ref="C15:C21">IF($B$15="","",$B$15/(1-($A15+C$14)/100))</f>
        <v>848.9604604604606</v>
      </c>
      <c r="D15" s="86">
        <f aca="true" t="shared" si="1" ref="D15:K21">IF($B$15="","",$B$15/(1-($A15+D$14)/100))</f>
        <v>849.8111222444891</v>
      </c>
      <c r="E15" s="86">
        <f t="shared" si="1"/>
        <v>850.6634904714143</v>
      </c>
      <c r="F15" s="86">
        <f t="shared" si="1"/>
        <v>851.5175702811246</v>
      </c>
      <c r="G15" s="86">
        <f t="shared" si="1"/>
        <v>852.373366834171</v>
      </c>
      <c r="H15" s="86">
        <f t="shared" si="1"/>
        <v>853.2308853118714</v>
      </c>
      <c r="I15" s="86">
        <f t="shared" si="1"/>
        <v>854.090130916415</v>
      </c>
      <c r="J15" s="86">
        <f t="shared" si="1"/>
        <v>854.9511088709678</v>
      </c>
      <c r="K15" s="86">
        <f t="shared" si="1"/>
        <v>855.8138244197781</v>
      </c>
    </row>
    <row r="16" spans="1:11" ht="15">
      <c r="A16" s="56">
        <v>1</v>
      </c>
      <c r="B16" s="84">
        <f aca="true" t="shared" si="2" ref="B16:B21">IF($B$15="","",$B$15/(1-($A16+B$14)/100))</f>
        <v>856.6782828282829</v>
      </c>
      <c r="C16" s="84">
        <f t="shared" si="0"/>
        <v>857.5444893832155</v>
      </c>
      <c r="D16" s="84">
        <f t="shared" si="1"/>
        <v>858.4124493927127</v>
      </c>
      <c r="E16" s="84">
        <f t="shared" si="1"/>
        <v>859.2821681864236</v>
      </c>
      <c r="F16" s="84">
        <f t="shared" si="1"/>
        <v>860.1536511156188</v>
      </c>
      <c r="G16" s="84">
        <f t="shared" si="1"/>
        <v>861.0269035532996</v>
      </c>
      <c r="H16" s="84">
        <f t="shared" si="1"/>
        <v>861.9019308943091</v>
      </c>
      <c r="I16" s="84">
        <f t="shared" si="1"/>
        <v>862.7787385554426</v>
      </c>
      <c r="J16" s="84">
        <f t="shared" si="1"/>
        <v>863.6573319755602</v>
      </c>
      <c r="K16" s="84">
        <f t="shared" si="1"/>
        <v>864.5377166156984</v>
      </c>
    </row>
    <row r="17" spans="1:11" ht="15">
      <c r="A17" s="56">
        <v>2</v>
      </c>
      <c r="B17" s="84">
        <f t="shared" si="2"/>
        <v>865.4198979591838</v>
      </c>
      <c r="C17" s="84">
        <f t="shared" si="0"/>
        <v>866.3038815117468</v>
      </c>
      <c r="D17" s="84">
        <f t="shared" si="1"/>
        <v>867.1896728016361</v>
      </c>
      <c r="E17" s="84">
        <f t="shared" si="1"/>
        <v>868.077277379734</v>
      </c>
      <c r="F17" s="84">
        <f t="shared" si="1"/>
        <v>868.9667008196723</v>
      </c>
      <c r="G17" s="84">
        <f t="shared" si="1"/>
        <v>869.8579487179488</v>
      </c>
      <c r="H17" s="84">
        <f t="shared" si="1"/>
        <v>870.7510266940453</v>
      </c>
      <c r="I17" s="84">
        <f t="shared" si="1"/>
        <v>871.6459403905449</v>
      </c>
      <c r="J17" s="84">
        <f t="shared" si="1"/>
        <v>872.5426954732511</v>
      </c>
      <c r="K17" s="84">
        <f t="shared" si="1"/>
        <v>873.4412976313081</v>
      </c>
    </row>
    <row r="18" spans="1:11" ht="15">
      <c r="A18" s="56">
        <v>3</v>
      </c>
      <c r="B18" s="84">
        <f t="shared" si="2"/>
        <v>874.3417525773197</v>
      </c>
      <c r="C18" s="84">
        <f t="shared" si="0"/>
        <v>875.2440660474717</v>
      </c>
      <c r="D18" s="84">
        <f t="shared" si="1"/>
        <v>876.148243801653</v>
      </c>
      <c r="E18" s="84">
        <f t="shared" si="1"/>
        <v>877.0542916235783</v>
      </c>
      <c r="F18" s="84">
        <f t="shared" si="1"/>
        <v>877.9622153209111</v>
      </c>
      <c r="G18" s="84">
        <f t="shared" si="1"/>
        <v>878.8720207253888</v>
      </c>
      <c r="H18" s="84">
        <f t="shared" si="1"/>
        <v>879.7837136929462</v>
      </c>
      <c r="I18" s="84">
        <f t="shared" si="1"/>
        <v>880.6973001038423</v>
      </c>
      <c r="J18" s="84">
        <f t="shared" si="1"/>
        <v>881.612785862786</v>
      </c>
      <c r="K18" s="84">
        <f t="shared" si="1"/>
        <v>882.5301768990636</v>
      </c>
    </row>
    <row r="19" spans="1:11" ht="15">
      <c r="A19" s="56">
        <v>4</v>
      </c>
      <c r="B19" s="84">
        <f t="shared" si="2"/>
        <v>883.4494791666668</v>
      </c>
      <c r="C19" s="84">
        <f t="shared" si="0"/>
        <v>884.3706986444214</v>
      </c>
      <c r="D19" s="84">
        <f t="shared" si="1"/>
        <v>885.293841336117</v>
      </c>
      <c r="E19" s="84">
        <f t="shared" si="1"/>
        <v>886.2189132706376</v>
      </c>
      <c r="F19" s="84">
        <f t="shared" si="1"/>
        <v>887.1459205020922</v>
      </c>
      <c r="G19" s="84">
        <f t="shared" si="1"/>
        <v>888.0748691099478</v>
      </c>
      <c r="H19" s="84">
        <f t="shared" si="1"/>
        <v>889.0057651991616</v>
      </c>
      <c r="I19" s="84">
        <f t="shared" si="1"/>
        <v>889.938614900315</v>
      </c>
      <c r="J19" s="84">
        <f t="shared" si="1"/>
        <v>890.873424369748</v>
      </c>
      <c r="K19" s="84">
        <f t="shared" si="1"/>
        <v>891.8101997896952</v>
      </c>
    </row>
    <row r="20" spans="1:11" ht="15">
      <c r="A20" s="56">
        <v>5</v>
      </c>
      <c r="B20" s="84">
        <f t="shared" si="2"/>
        <v>892.7489473684212</v>
      </c>
      <c r="C20" s="84">
        <f t="shared" si="0"/>
        <v>893.6896733403585</v>
      </c>
      <c r="D20" s="84">
        <f t="shared" si="1"/>
        <v>894.6323839662449</v>
      </c>
      <c r="E20" s="84">
        <f t="shared" si="1"/>
        <v>895.5770855332631</v>
      </c>
      <c r="F20" s="84">
        <f t="shared" si="1"/>
        <v>896.5237843551798</v>
      </c>
      <c r="G20" s="84">
        <f t="shared" si="1"/>
        <v>897.472486772487</v>
      </c>
      <c r="H20" s="84">
        <f t="shared" si="1"/>
        <v>898.4231991525426</v>
      </c>
      <c r="I20" s="84">
        <f t="shared" si="1"/>
        <v>899.3759278897138</v>
      </c>
      <c r="J20" s="84">
        <f t="shared" si="1"/>
        <v>900.3306794055203</v>
      </c>
      <c r="K20" s="84">
        <f t="shared" si="1"/>
        <v>901.287460148778</v>
      </c>
    </row>
    <row r="21" spans="1:11" ht="15">
      <c r="A21" s="56">
        <v>6</v>
      </c>
      <c r="B21" s="85">
        <f t="shared" si="2"/>
        <v>902.2462765957448</v>
      </c>
      <c r="C21" s="85">
        <f t="shared" si="0"/>
        <v>903.2071352502663</v>
      </c>
      <c r="D21" s="85">
        <f t="shared" si="1"/>
        <v>904.1700426439234</v>
      </c>
      <c r="E21" s="85">
        <f t="shared" si="1"/>
        <v>905.1350053361793</v>
      </c>
      <c r="F21" s="85">
        <f t="shared" si="1"/>
        <v>906.10202991453</v>
      </c>
      <c r="G21" s="85">
        <f t="shared" si="1"/>
        <v>907.0711229946525</v>
      </c>
      <c r="H21" s="85">
        <f t="shared" si="1"/>
        <v>908.0422912205569</v>
      </c>
      <c r="I21" s="85">
        <f t="shared" si="1"/>
        <v>909.0155412647374</v>
      </c>
      <c r="J21" s="85">
        <f t="shared" si="1"/>
        <v>909.9908798283263</v>
      </c>
      <c r="K21" s="85">
        <f t="shared" si="1"/>
        <v>910.968313641246</v>
      </c>
    </row>
    <row r="22" spans="1:11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5">
      <c r="A23" s="45"/>
      <c r="B23" s="45" t="s">
        <v>106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5">
      <c r="A24" s="46"/>
      <c r="B24" s="56">
        <v>0</v>
      </c>
      <c r="C24" s="56">
        <v>0.1</v>
      </c>
      <c r="D24" s="56">
        <v>0.2</v>
      </c>
      <c r="E24" s="56">
        <v>0.3</v>
      </c>
      <c r="F24" s="56">
        <v>0.4</v>
      </c>
      <c r="G24" s="56">
        <v>0.5</v>
      </c>
      <c r="H24" s="56">
        <v>0.6</v>
      </c>
      <c r="I24" s="56">
        <v>0.7</v>
      </c>
      <c r="J24" s="56">
        <v>0.8</v>
      </c>
      <c r="K24" s="56">
        <v>0.9</v>
      </c>
    </row>
    <row r="25" spans="1:11" ht="15">
      <c r="A25" s="57">
        <v>0</v>
      </c>
      <c r="B25" s="58">
        <f>F9</f>
        <v>848.1115000000001</v>
      </c>
      <c r="C25" s="86">
        <f aca="true" t="shared" si="3" ref="C25:C31">IF($B$25="","",$B$25/(1-($A25+C$14)/100))</f>
        <v>848.9604604604606</v>
      </c>
      <c r="D25" s="86">
        <f aca="true" t="shared" si="4" ref="D25:K31">IF($B$25="","",$B$25/(1-($A25+D$14)/100))</f>
        <v>849.8111222444891</v>
      </c>
      <c r="E25" s="86">
        <f t="shared" si="4"/>
        <v>850.6634904714143</v>
      </c>
      <c r="F25" s="86">
        <f t="shared" si="4"/>
        <v>851.5175702811246</v>
      </c>
      <c r="G25" s="86">
        <f t="shared" si="4"/>
        <v>852.373366834171</v>
      </c>
      <c r="H25" s="86">
        <f t="shared" si="4"/>
        <v>853.2308853118714</v>
      </c>
      <c r="I25" s="86">
        <f t="shared" si="4"/>
        <v>854.090130916415</v>
      </c>
      <c r="J25" s="86">
        <f t="shared" si="4"/>
        <v>854.9511088709678</v>
      </c>
      <c r="K25" s="86">
        <f t="shared" si="4"/>
        <v>855.8138244197781</v>
      </c>
    </row>
    <row r="26" spans="1:11" ht="15">
      <c r="A26" s="56">
        <v>1</v>
      </c>
      <c r="B26" s="59">
        <f aca="true" t="shared" si="5" ref="B26:B31">IF($B$25="","",$B$25/(1-($A26+B$14)/100))</f>
        <v>856.6782828282829</v>
      </c>
      <c r="C26" s="59">
        <f t="shared" si="3"/>
        <v>857.5444893832155</v>
      </c>
      <c r="D26" s="59">
        <f t="shared" si="4"/>
        <v>858.4124493927127</v>
      </c>
      <c r="E26" s="59">
        <f t="shared" si="4"/>
        <v>859.2821681864236</v>
      </c>
      <c r="F26" s="59">
        <f t="shared" si="4"/>
        <v>860.1536511156188</v>
      </c>
      <c r="G26" s="59">
        <f t="shared" si="4"/>
        <v>861.0269035532996</v>
      </c>
      <c r="H26" s="59">
        <f t="shared" si="4"/>
        <v>861.9019308943091</v>
      </c>
      <c r="I26" s="59">
        <f t="shared" si="4"/>
        <v>862.7787385554426</v>
      </c>
      <c r="J26" s="59">
        <f t="shared" si="4"/>
        <v>863.6573319755602</v>
      </c>
      <c r="K26" s="84">
        <f t="shared" si="4"/>
        <v>864.5377166156984</v>
      </c>
    </row>
    <row r="27" spans="1:11" ht="15">
      <c r="A27" s="56">
        <v>2</v>
      </c>
      <c r="B27" s="59">
        <f t="shared" si="5"/>
        <v>865.4198979591838</v>
      </c>
      <c r="C27" s="59">
        <f t="shared" si="3"/>
        <v>866.3038815117468</v>
      </c>
      <c r="D27" s="59">
        <f t="shared" si="4"/>
        <v>867.1896728016361</v>
      </c>
      <c r="E27" s="59">
        <f t="shared" si="4"/>
        <v>868.077277379734</v>
      </c>
      <c r="F27" s="59">
        <f t="shared" si="4"/>
        <v>868.9667008196723</v>
      </c>
      <c r="G27" s="59">
        <f t="shared" si="4"/>
        <v>869.8579487179488</v>
      </c>
      <c r="H27" s="59">
        <f t="shared" si="4"/>
        <v>870.7510266940453</v>
      </c>
      <c r="I27" s="59">
        <f t="shared" si="4"/>
        <v>871.6459403905449</v>
      </c>
      <c r="J27" s="59">
        <f t="shared" si="4"/>
        <v>872.5426954732511</v>
      </c>
      <c r="K27" s="84">
        <f t="shared" si="4"/>
        <v>873.4412976313081</v>
      </c>
    </row>
    <row r="28" spans="1:11" ht="15">
      <c r="A28" s="56">
        <v>3</v>
      </c>
      <c r="B28" s="59">
        <f t="shared" si="5"/>
        <v>874.3417525773197</v>
      </c>
      <c r="C28" s="59">
        <f t="shared" si="3"/>
        <v>875.2440660474717</v>
      </c>
      <c r="D28" s="59">
        <f t="shared" si="4"/>
        <v>876.148243801653</v>
      </c>
      <c r="E28" s="59">
        <f t="shared" si="4"/>
        <v>877.0542916235783</v>
      </c>
      <c r="F28" s="59">
        <f t="shared" si="4"/>
        <v>877.9622153209111</v>
      </c>
      <c r="G28" s="59">
        <f t="shared" si="4"/>
        <v>878.8720207253888</v>
      </c>
      <c r="H28" s="59">
        <f t="shared" si="4"/>
        <v>879.7837136929462</v>
      </c>
      <c r="I28" s="59">
        <f t="shared" si="4"/>
        <v>880.6973001038423</v>
      </c>
      <c r="J28" s="59">
        <f t="shared" si="4"/>
        <v>881.612785862786</v>
      </c>
      <c r="K28" s="84">
        <f t="shared" si="4"/>
        <v>882.5301768990636</v>
      </c>
    </row>
    <row r="29" spans="1:11" ht="15">
      <c r="A29" s="56">
        <v>4</v>
      </c>
      <c r="B29" s="59">
        <f t="shared" si="5"/>
        <v>883.4494791666668</v>
      </c>
      <c r="C29" s="59">
        <f t="shared" si="3"/>
        <v>884.3706986444214</v>
      </c>
      <c r="D29" s="59">
        <f t="shared" si="4"/>
        <v>885.293841336117</v>
      </c>
      <c r="E29" s="59">
        <f t="shared" si="4"/>
        <v>886.2189132706376</v>
      </c>
      <c r="F29" s="59">
        <f t="shared" si="4"/>
        <v>887.1459205020922</v>
      </c>
      <c r="G29" s="59">
        <f t="shared" si="4"/>
        <v>888.0748691099478</v>
      </c>
      <c r="H29" s="59">
        <f t="shared" si="4"/>
        <v>889.0057651991616</v>
      </c>
      <c r="I29" s="59">
        <f t="shared" si="4"/>
        <v>889.938614900315</v>
      </c>
      <c r="J29" s="59">
        <f t="shared" si="4"/>
        <v>890.873424369748</v>
      </c>
      <c r="K29" s="84">
        <f t="shared" si="4"/>
        <v>891.8101997896952</v>
      </c>
    </row>
    <row r="30" spans="1:11" ht="15">
      <c r="A30" s="56">
        <v>5</v>
      </c>
      <c r="B30" s="59">
        <f t="shared" si="5"/>
        <v>892.7489473684212</v>
      </c>
      <c r="C30" s="59">
        <f t="shared" si="3"/>
        <v>893.6896733403585</v>
      </c>
      <c r="D30" s="59">
        <f t="shared" si="4"/>
        <v>894.6323839662449</v>
      </c>
      <c r="E30" s="59">
        <f t="shared" si="4"/>
        <v>895.5770855332631</v>
      </c>
      <c r="F30" s="59">
        <f t="shared" si="4"/>
        <v>896.5237843551798</v>
      </c>
      <c r="G30" s="59">
        <f t="shared" si="4"/>
        <v>897.472486772487</v>
      </c>
      <c r="H30" s="59">
        <f t="shared" si="4"/>
        <v>898.4231991525426</v>
      </c>
      <c r="I30" s="59">
        <f t="shared" si="4"/>
        <v>899.3759278897138</v>
      </c>
      <c r="J30" s="59">
        <f t="shared" si="4"/>
        <v>900.3306794055203</v>
      </c>
      <c r="K30" s="84">
        <f t="shared" si="4"/>
        <v>901.287460148778</v>
      </c>
    </row>
    <row r="31" spans="1:11" ht="15">
      <c r="A31" s="56">
        <v>6</v>
      </c>
      <c r="B31" s="60">
        <f t="shared" si="5"/>
        <v>902.2462765957448</v>
      </c>
      <c r="C31" s="60">
        <f t="shared" si="3"/>
        <v>903.2071352502663</v>
      </c>
      <c r="D31" s="60">
        <f t="shared" si="4"/>
        <v>904.1700426439234</v>
      </c>
      <c r="E31" s="60">
        <f t="shared" si="4"/>
        <v>905.1350053361793</v>
      </c>
      <c r="F31" s="60">
        <f t="shared" si="4"/>
        <v>906.10202991453</v>
      </c>
      <c r="G31" s="60">
        <f t="shared" si="4"/>
        <v>907.0711229946525</v>
      </c>
      <c r="H31" s="60">
        <f t="shared" si="4"/>
        <v>908.0422912205569</v>
      </c>
      <c r="I31" s="60">
        <f t="shared" si="4"/>
        <v>909.0155412647374</v>
      </c>
      <c r="J31" s="60">
        <f t="shared" si="4"/>
        <v>909.9908798283263</v>
      </c>
      <c r="K31" s="85">
        <f t="shared" si="4"/>
        <v>910.968313641246</v>
      </c>
    </row>
    <row r="32" spans="1:11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5">
      <c r="A33" s="45"/>
      <c r="B33" s="45" t="s">
        <v>111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5">
      <c r="A34" s="46"/>
      <c r="B34" s="56">
        <v>0</v>
      </c>
      <c r="C34" s="56">
        <v>0.1</v>
      </c>
      <c r="D34" s="56">
        <v>0.2</v>
      </c>
      <c r="E34" s="56">
        <v>0.3</v>
      </c>
      <c r="F34" s="56">
        <v>0.4</v>
      </c>
      <c r="G34" s="56">
        <v>0.5</v>
      </c>
      <c r="H34" s="56">
        <v>0.6</v>
      </c>
      <c r="I34" s="56">
        <v>0.7</v>
      </c>
      <c r="J34" s="56">
        <v>0.8</v>
      </c>
      <c r="K34" s="56">
        <v>0.9</v>
      </c>
    </row>
    <row r="35" spans="1:11" ht="15">
      <c r="A35" s="57">
        <v>0</v>
      </c>
      <c r="B35" s="58">
        <f>F8</f>
      </c>
      <c r="C35" s="86">
        <f aca="true" t="shared" si="6" ref="C35:C41">IF($B$35="","",$B$35/(1-($A35+C$14)/100))</f>
      </c>
      <c r="D35" s="86">
        <f aca="true" t="shared" si="7" ref="D35:K41">IF($B$35="","",$B$35/(1-($A35+D$14)/100))</f>
      </c>
      <c r="E35" s="86">
        <f t="shared" si="7"/>
      </c>
      <c r="F35" s="86">
        <f t="shared" si="7"/>
      </c>
      <c r="G35" s="86">
        <f t="shared" si="7"/>
      </c>
      <c r="H35" s="86">
        <f t="shared" si="7"/>
      </c>
      <c r="I35" s="86">
        <f t="shared" si="7"/>
      </c>
      <c r="J35" s="86">
        <f t="shared" si="7"/>
      </c>
      <c r="K35" s="86">
        <f t="shared" si="7"/>
      </c>
    </row>
    <row r="36" spans="1:11" ht="15">
      <c r="A36" s="56">
        <v>1</v>
      </c>
      <c r="B36" s="59">
        <f aca="true" t="shared" si="8" ref="B36:B41">IF($B$35="","",$B$35/(1-($A36+B$14)/100))</f>
      </c>
      <c r="C36" s="59">
        <f t="shared" si="6"/>
      </c>
      <c r="D36" s="59">
        <f t="shared" si="7"/>
      </c>
      <c r="E36" s="59">
        <f t="shared" si="7"/>
      </c>
      <c r="F36" s="59">
        <f t="shared" si="7"/>
      </c>
      <c r="G36" s="59">
        <f t="shared" si="7"/>
      </c>
      <c r="H36" s="59">
        <f t="shared" si="7"/>
      </c>
      <c r="I36" s="59">
        <f t="shared" si="7"/>
      </c>
      <c r="J36" s="59">
        <f t="shared" si="7"/>
      </c>
      <c r="K36" s="84">
        <f t="shared" si="7"/>
      </c>
    </row>
    <row r="37" spans="1:11" ht="15">
      <c r="A37" s="56">
        <v>2</v>
      </c>
      <c r="B37" s="59">
        <f t="shared" si="8"/>
      </c>
      <c r="C37" s="59">
        <f t="shared" si="6"/>
      </c>
      <c r="D37" s="59">
        <f t="shared" si="7"/>
      </c>
      <c r="E37" s="59">
        <f t="shared" si="7"/>
      </c>
      <c r="F37" s="59">
        <f t="shared" si="7"/>
      </c>
      <c r="G37" s="59">
        <f t="shared" si="7"/>
      </c>
      <c r="H37" s="59">
        <f t="shared" si="7"/>
      </c>
      <c r="I37" s="59">
        <f t="shared" si="7"/>
      </c>
      <c r="J37" s="59">
        <f t="shared" si="7"/>
      </c>
      <c r="K37" s="84">
        <f t="shared" si="7"/>
      </c>
    </row>
    <row r="38" spans="1:11" ht="15">
      <c r="A38" s="56">
        <v>3</v>
      </c>
      <c r="B38" s="59">
        <f t="shared" si="8"/>
      </c>
      <c r="C38" s="59">
        <f t="shared" si="6"/>
      </c>
      <c r="D38" s="59">
        <f t="shared" si="7"/>
      </c>
      <c r="E38" s="59">
        <f t="shared" si="7"/>
      </c>
      <c r="F38" s="59">
        <f t="shared" si="7"/>
      </c>
      <c r="G38" s="59">
        <f t="shared" si="7"/>
      </c>
      <c r="H38" s="59">
        <f t="shared" si="7"/>
      </c>
      <c r="I38" s="59">
        <f t="shared" si="7"/>
      </c>
      <c r="J38" s="59">
        <f t="shared" si="7"/>
      </c>
      <c r="K38" s="84">
        <f t="shared" si="7"/>
      </c>
    </row>
    <row r="39" spans="1:11" ht="15">
      <c r="A39" s="56">
        <v>4</v>
      </c>
      <c r="B39" s="59">
        <f t="shared" si="8"/>
      </c>
      <c r="C39" s="59">
        <f t="shared" si="6"/>
      </c>
      <c r="D39" s="59">
        <f t="shared" si="7"/>
      </c>
      <c r="E39" s="59">
        <f t="shared" si="7"/>
      </c>
      <c r="F39" s="59">
        <f t="shared" si="7"/>
      </c>
      <c r="G39" s="59">
        <f t="shared" si="7"/>
      </c>
      <c r="H39" s="59">
        <f t="shared" si="7"/>
      </c>
      <c r="I39" s="59">
        <f t="shared" si="7"/>
      </c>
      <c r="J39" s="59">
        <f t="shared" si="7"/>
      </c>
      <c r="K39" s="84">
        <f t="shared" si="7"/>
      </c>
    </row>
    <row r="40" spans="1:11" ht="15">
      <c r="A40" s="56">
        <v>5</v>
      </c>
      <c r="B40" s="59">
        <f t="shared" si="8"/>
      </c>
      <c r="C40" s="59">
        <f t="shared" si="6"/>
      </c>
      <c r="D40" s="59">
        <f t="shared" si="7"/>
      </c>
      <c r="E40" s="59">
        <f t="shared" si="7"/>
      </c>
      <c r="F40" s="59">
        <f t="shared" si="7"/>
      </c>
      <c r="G40" s="59">
        <f t="shared" si="7"/>
      </c>
      <c r="H40" s="59">
        <f t="shared" si="7"/>
      </c>
      <c r="I40" s="59">
        <f t="shared" si="7"/>
      </c>
      <c r="J40" s="59">
        <f t="shared" si="7"/>
      </c>
      <c r="K40" s="84">
        <f t="shared" si="7"/>
      </c>
    </row>
    <row r="41" spans="1:11" ht="15">
      <c r="A41" s="56">
        <v>6</v>
      </c>
      <c r="B41" s="60">
        <f t="shared" si="8"/>
      </c>
      <c r="C41" s="60">
        <f t="shared" si="6"/>
      </c>
      <c r="D41" s="60">
        <f t="shared" si="7"/>
      </c>
      <c r="E41" s="60">
        <f t="shared" si="7"/>
      </c>
      <c r="F41" s="60">
        <f t="shared" si="7"/>
      </c>
      <c r="G41" s="60">
        <f t="shared" si="7"/>
      </c>
      <c r="H41" s="60">
        <f t="shared" si="7"/>
      </c>
      <c r="I41" s="60">
        <f t="shared" si="7"/>
      </c>
      <c r="J41" s="60">
        <f t="shared" si="7"/>
      </c>
      <c r="K41" s="85">
        <f t="shared" si="7"/>
      </c>
    </row>
  </sheetData>
  <sheetProtection password="D8FF" sheet="1" objects="1" scenarios="1"/>
  <mergeCells count="1">
    <mergeCell ref="F3:G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75" zoomScaleSheetLayoutView="75" zoomScalePageLayoutView="0" workbookViewId="0" topLeftCell="A1">
      <selection activeCell="E7" sqref="E7"/>
    </sheetView>
  </sheetViews>
  <sheetFormatPr defaultColWidth="8.88671875" defaultRowHeight="15"/>
  <cols>
    <col min="1" max="1" width="19.3359375" style="0" customWidth="1"/>
    <col min="2" max="2" width="14.77734375" style="0" customWidth="1"/>
    <col min="3" max="3" width="12.4453125" style="0" customWidth="1"/>
    <col min="4" max="4" width="12.77734375" style="0" customWidth="1"/>
    <col min="5" max="5" width="9.3359375" style="0" customWidth="1"/>
    <col min="6" max="6" width="12.6640625" style="0" customWidth="1"/>
    <col min="7" max="7" width="17.6640625" style="0" customWidth="1"/>
    <col min="8" max="8" width="10.77734375" style="0" customWidth="1"/>
  </cols>
  <sheetData>
    <row r="1" spans="1:8" ht="15.75">
      <c r="A1" s="61" t="s">
        <v>220</v>
      </c>
      <c r="B1" s="62"/>
      <c r="C1" s="95" t="s">
        <v>113</v>
      </c>
      <c r="D1" s="64"/>
      <c r="F1" s="64"/>
      <c r="G1" s="63"/>
      <c r="H1" s="65" t="s">
        <v>167</v>
      </c>
    </row>
    <row r="2" spans="1:8" ht="15.75">
      <c r="A2" s="63"/>
      <c r="B2" s="66"/>
      <c r="C2" s="95" t="s">
        <v>114</v>
      </c>
      <c r="D2" s="64"/>
      <c r="F2" s="64"/>
      <c r="G2" s="63"/>
      <c r="H2" s="63"/>
    </row>
    <row r="3" spans="1:8" ht="15.75">
      <c r="A3" s="67"/>
      <c r="B3" s="66"/>
      <c r="C3" s="95" t="s">
        <v>115</v>
      </c>
      <c r="D3" s="64"/>
      <c r="F3" s="64"/>
      <c r="G3" s="63"/>
      <c r="H3" s="63"/>
    </row>
    <row r="4" spans="1:8" ht="15">
      <c r="A4" s="63"/>
      <c r="B4" s="63"/>
      <c r="C4" s="63"/>
      <c r="D4" s="63"/>
      <c r="E4" s="63"/>
      <c r="F4" s="63"/>
      <c r="G4" s="63"/>
      <c r="H4" s="63"/>
    </row>
    <row r="5" spans="1:8" ht="15.75">
      <c r="A5" s="88" t="s">
        <v>116</v>
      </c>
      <c r="B5" s="89"/>
      <c r="C5" s="89"/>
      <c r="D5" s="91"/>
      <c r="E5" s="92"/>
      <c r="F5" s="92"/>
      <c r="G5" s="91" t="s">
        <v>117</v>
      </c>
      <c r="H5" s="89">
        <f>IF('Mix Info'!B1="","",'Mix Info'!B1)</f>
      </c>
    </row>
    <row r="6" spans="1:8" ht="15.75">
      <c r="A6" s="92"/>
      <c r="B6" s="92"/>
      <c r="C6" s="92"/>
      <c r="D6" s="92"/>
      <c r="E6" s="92"/>
      <c r="F6" s="92"/>
      <c r="G6" s="92"/>
      <c r="H6" s="92"/>
    </row>
    <row r="7" spans="1:8" ht="15.75">
      <c r="A7" s="91" t="s">
        <v>118</v>
      </c>
      <c r="B7" s="94" t="str">
        <f>IF('Batch Wts. English'!F3="","",'Batch Wts. English'!F3)</f>
        <v>SCC</v>
      </c>
      <c r="D7" s="131" t="s">
        <v>215</v>
      </c>
      <c r="E7" s="132">
        <f>IF('E820150A'!B13="","",'E820150A'!B13)</f>
        <v>0.133</v>
      </c>
      <c r="F7" s="93"/>
      <c r="G7" s="91" t="s">
        <v>212</v>
      </c>
      <c r="H7" s="99">
        <f>IF('Mix Info'!B6="","",'Mix Info'!B6)</f>
      </c>
    </row>
    <row r="8" spans="1:8" ht="15.75">
      <c r="A8" s="93"/>
      <c r="B8" s="93"/>
      <c r="C8" s="92"/>
      <c r="D8" s="93"/>
      <c r="E8" s="92"/>
      <c r="F8" s="93"/>
      <c r="G8" s="93"/>
      <c r="H8" s="92"/>
    </row>
    <row r="9" spans="1:8" ht="15.75">
      <c r="A9" s="91" t="s">
        <v>217</v>
      </c>
      <c r="B9" s="97">
        <f>IF('E820150A'!B33="","",'E820150A'!B33*0.5935)</f>
        <v>417.824</v>
      </c>
      <c r="C9" s="34" t="s">
        <v>205</v>
      </c>
      <c r="D9" s="91" t="s">
        <v>119</v>
      </c>
      <c r="E9" s="89">
        <f>IF('Mix Info'!B5="","",CONCATENATE('Mix Info'!B5," ",'Mix Info'!B6))</f>
      </c>
      <c r="F9" s="90"/>
      <c r="G9" s="91" t="s">
        <v>120</v>
      </c>
      <c r="H9" s="99">
        <f>IF('Mix Info'!B7="","",'Mix Info'!B7)</f>
        <v>3.14</v>
      </c>
    </row>
    <row r="10" spans="1:8" ht="15.75">
      <c r="A10" s="92"/>
      <c r="B10" s="129" t="s">
        <v>216</v>
      </c>
      <c r="C10" s="100"/>
      <c r="D10" s="92"/>
      <c r="E10" s="92"/>
      <c r="F10" s="92"/>
      <c r="G10" s="92"/>
      <c r="H10" s="92"/>
    </row>
    <row r="11" spans="1:8" ht="15.75">
      <c r="A11" s="91" t="s">
        <v>221</v>
      </c>
      <c r="B11" s="94">
        <f>IF('Mix Info'!B10="","",'Mix Info'!B10)</f>
      </c>
      <c r="C11" s="133">
        <f>IF(B7="","",'Batch Wts. Metric'!F5)</f>
        <v>0</v>
      </c>
      <c r="D11" s="91" t="s">
        <v>119</v>
      </c>
      <c r="E11" s="89">
        <f>IF('Mix Info'!B8="","",'Mix Info'!B8)</f>
      </c>
      <c r="F11" s="89"/>
      <c r="G11" s="91" t="s">
        <v>120</v>
      </c>
      <c r="H11" s="99">
        <f>IF('Mix Info'!B11="","",'Mix Info'!B11)</f>
      </c>
    </row>
    <row r="12" spans="1:8" ht="15.75">
      <c r="A12" s="91"/>
      <c r="B12" s="129"/>
      <c r="C12" s="101"/>
      <c r="D12" s="91"/>
      <c r="E12" s="102"/>
      <c r="F12" s="102"/>
      <c r="G12" s="91"/>
      <c r="H12" s="103"/>
    </row>
    <row r="13" spans="1:8" ht="15.75">
      <c r="A13" s="91" t="s">
        <v>222</v>
      </c>
      <c r="B13" s="94">
        <f>IF('Mix Info'!B13="","",'Mix Info'!B13)</f>
      </c>
      <c r="C13" s="133">
        <f>IF(B7="","",'Batch Wts. Metric'!F6)</f>
        <v>0</v>
      </c>
      <c r="D13" s="91" t="s">
        <v>119</v>
      </c>
      <c r="E13" s="89">
        <f>IF('Mix Info'!B12="","",'Mix Info'!B12)</f>
      </c>
      <c r="F13" s="89"/>
      <c r="G13" s="91" t="s">
        <v>120</v>
      </c>
      <c r="H13" s="99">
        <f>IF('Mix Info'!B14="","",'Mix Info'!B14)</f>
      </c>
    </row>
    <row r="14" spans="1:8" ht="15.75">
      <c r="A14" s="91"/>
      <c r="B14" s="91"/>
      <c r="C14" s="101"/>
      <c r="D14" s="91"/>
      <c r="E14" s="102"/>
      <c r="F14" s="102"/>
      <c r="G14" s="91"/>
      <c r="H14" s="103"/>
    </row>
    <row r="15" spans="1:8" ht="15.75">
      <c r="A15" s="117"/>
      <c r="B15" s="91" t="s">
        <v>223</v>
      </c>
      <c r="C15" s="133">
        <f>IF('E820150A'!B34="","",'E820150A'!B34*0.5935)</f>
        <v>417.824</v>
      </c>
      <c r="H15" s="103"/>
    </row>
    <row r="16" spans="1:8" ht="15.75">
      <c r="A16" s="92"/>
      <c r="B16" s="92"/>
      <c r="C16" s="105"/>
      <c r="D16" s="91"/>
      <c r="E16" s="102"/>
      <c r="F16" s="102"/>
      <c r="G16" s="91"/>
      <c r="H16" s="103"/>
    </row>
    <row r="17" spans="1:8" ht="15.75">
      <c r="A17" s="117"/>
      <c r="B17" s="91" t="s">
        <v>121</v>
      </c>
      <c r="C17" s="97">
        <f>IF(B9="","",C11+C13+C15)</f>
        <v>417.824</v>
      </c>
      <c r="E17" s="91" t="s">
        <v>211</v>
      </c>
      <c r="F17" s="128">
        <f>IF(B7="","",'E820150A'!G35)</f>
        <v>0</v>
      </c>
      <c r="H17" s="103"/>
    </row>
    <row r="18" spans="1:8" ht="15.75">
      <c r="A18" s="92"/>
      <c r="B18" s="92"/>
      <c r="C18" s="92"/>
      <c r="D18" s="92"/>
      <c r="E18" s="92"/>
      <c r="F18" s="92"/>
      <c r="G18" s="92"/>
      <c r="H18" s="92"/>
    </row>
    <row r="19" spans="1:8" ht="15.75">
      <c r="A19" s="91" t="s">
        <v>170</v>
      </c>
      <c r="B19" s="95" t="s">
        <v>122</v>
      </c>
      <c r="C19" s="95"/>
      <c r="D19" s="197">
        <f>IF('Mix Info'!B15="","",'Mix Info'!B15)</f>
      </c>
      <c r="E19" s="198"/>
      <c r="F19" s="106"/>
      <c r="G19" s="91" t="s">
        <v>120</v>
      </c>
      <c r="H19" s="99">
        <f>IF('Mix Info'!B16="","",'Mix Info'!B16)</f>
        <v>2.65</v>
      </c>
    </row>
    <row r="20" spans="1:8" ht="15.75">
      <c r="A20" s="91" t="s">
        <v>170</v>
      </c>
      <c r="B20" s="95" t="s">
        <v>123</v>
      </c>
      <c r="C20" s="95"/>
      <c r="D20" s="195">
        <f>IF('Mix Info'!B17="","",'Mix Info'!B17)</f>
      </c>
      <c r="E20" s="196"/>
      <c r="F20" s="108"/>
      <c r="G20" s="91" t="s">
        <v>120</v>
      </c>
      <c r="H20" s="99">
        <f>IF('Mix Info'!B18="","",'Mix Info'!B18)</f>
      </c>
    </row>
    <row r="21" spans="1:8" ht="15.75">
      <c r="A21" s="91" t="s">
        <v>170</v>
      </c>
      <c r="B21" s="95" t="s">
        <v>124</v>
      </c>
      <c r="C21" s="95"/>
      <c r="D21" s="195">
        <f>IF('Mix Info'!B19="","",'Mix Info'!B19)</f>
      </c>
      <c r="E21" s="196"/>
      <c r="F21" s="89"/>
      <c r="G21" s="91" t="s">
        <v>120</v>
      </c>
      <c r="H21" s="99">
        <f>IF('Mix Info'!B20="","",'Mix Info'!B20)</f>
        <v>2.65</v>
      </c>
    </row>
    <row r="22" spans="1:8" ht="15.75">
      <c r="A22" s="92"/>
      <c r="B22" s="92"/>
      <c r="C22" s="92"/>
      <c r="D22" s="92"/>
      <c r="E22" s="92"/>
      <c r="F22" s="92"/>
      <c r="G22" s="92"/>
      <c r="H22" s="92"/>
    </row>
    <row r="23" spans="1:8" ht="15.75">
      <c r="A23" s="91" t="s">
        <v>125</v>
      </c>
      <c r="B23" s="110">
        <f>IF('Batch Wts. English'!G10="","",'Batch Wts. English'!G10)</f>
        <v>0.4</v>
      </c>
      <c r="C23" s="117"/>
      <c r="D23" s="92"/>
      <c r="E23" s="92"/>
      <c r="F23" s="92"/>
      <c r="G23" s="91" t="s">
        <v>160</v>
      </c>
      <c r="H23" s="97">
        <f>'Batch Wts. Metric'!F10</f>
        <v>167.1296</v>
      </c>
    </row>
    <row r="24" spans="1:8" ht="15.75">
      <c r="A24" s="91" t="s">
        <v>126</v>
      </c>
      <c r="B24" s="110">
        <f>IF('Batch Wts. English'!G11="","",'Batch Wts. English'!G11)</f>
        <v>0.45</v>
      </c>
      <c r="C24" s="117"/>
      <c r="D24" s="92"/>
      <c r="E24" s="92"/>
      <c r="F24" s="92"/>
      <c r="G24" s="91" t="s">
        <v>161</v>
      </c>
      <c r="H24" s="97">
        <f>'Batch Wts. Metric'!F11</f>
        <v>188.0208</v>
      </c>
    </row>
    <row r="25" spans="1:8" ht="15.75">
      <c r="A25" s="92"/>
      <c r="B25" s="92"/>
      <c r="C25" s="92"/>
      <c r="D25" s="92"/>
      <c r="E25" s="92"/>
      <c r="F25" s="92"/>
      <c r="G25" s="92"/>
      <c r="H25" s="92"/>
    </row>
    <row r="26" spans="1:8" ht="15.75">
      <c r="A26" s="92" t="s">
        <v>127</v>
      </c>
      <c r="B26" s="91" t="s">
        <v>3</v>
      </c>
      <c r="C26" s="92" t="s">
        <v>128</v>
      </c>
      <c r="D26" s="92"/>
      <c r="E26" s="92" t="s">
        <v>162</v>
      </c>
      <c r="F26" s="92"/>
      <c r="G26" s="91"/>
      <c r="H26" s="111">
        <f>IF('E820150A'!B14="","",'E820150A'!B14)</f>
        <v>0.133</v>
      </c>
    </row>
    <row r="27" spans="1:8" ht="15.75">
      <c r="A27" s="92"/>
      <c r="B27" s="92"/>
      <c r="C27" s="92"/>
      <c r="D27" s="92"/>
      <c r="E27" s="118"/>
      <c r="F27" s="92"/>
      <c r="G27" s="92"/>
      <c r="H27" s="92"/>
    </row>
    <row r="28" spans="1:8" ht="15.75">
      <c r="A28" s="92"/>
      <c r="B28" s="91" t="s">
        <v>4</v>
      </c>
      <c r="C28" s="92" t="s">
        <v>128</v>
      </c>
      <c r="D28" s="92"/>
      <c r="E28" s="92" t="s">
        <v>162</v>
      </c>
      <c r="F28" s="92"/>
      <c r="G28" s="91"/>
      <c r="H28" s="111">
        <f>IF('E820150A'!B15="","",'E820150A'!B15)</f>
      </c>
    </row>
    <row r="29" spans="1:8" ht="15.75">
      <c r="A29" s="92"/>
      <c r="B29" s="92"/>
      <c r="C29" s="92"/>
      <c r="D29" s="92"/>
      <c r="E29" s="118"/>
      <c r="F29" s="92"/>
      <c r="G29" s="92"/>
      <c r="H29" s="92"/>
    </row>
    <row r="30" spans="1:8" ht="15.75">
      <c r="A30" s="92"/>
      <c r="B30" s="91" t="s">
        <v>129</v>
      </c>
      <c r="C30" s="92" t="s">
        <v>128</v>
      </c>
      <c r="D30" s="92"/>
      <c r="E30" s="92" t="s">
        <v>162</v>
      </c>
      <c r="F30" s="92"/>
      <c r="G30" s="91"/>
      <c r="H30" s="111">
        <f>IF('E820150A'!B16="","",'E820150A'!B16)</f>
      </c>
    </row>
    <row r="31" spans="1:8" ht="15.75">
      <c r="A31" s="92"/>
      <c r="B31" s="92"/>
      <c r="C31" s="92"/>
      <c r="D31" s="92"/>
      <c r="E31" s="92"/>
      <c r="F31" s="92"/>
      <c r="G31" s="92"/>
      <c r="H31" s="92"/>
    </row>
    <row r="32" spans="1:8" ht="15.75">
      <c r="A32" s="92"/>
      <c r="B32" s="91" t="s">
        <v>130</v>
      </c>
      <c r="C32" s="92" t="s">
        <v>128</v>
      </c>
      <c r="D32" s="92"/>
      <c r="E32" s="92" t="s">
        <v>162</v>
      </c>
      <c r="F32" s="92"/>
      <c r="G32" s="91"/>
      <c r="H32" s="111">
        <f>IF('E820150A'!B17="","",'E820150A'!B17)</f>
        <v>0.16714150047483384</v>
      </c>
    </row>
    <row r="33" spans="1:8" ht="15.75">
      <c r="A33" s="92"/>
      <c r="B33" s="92"/>
      <c r="C33" s="92"/>
      <c r="D33" s="92"/>
      <c r="E33" s="118"/>
      <c r="F33" s="92"/>
      <c r="G33" s="92"/>
      <c r="H33" s="92"/>
    </row>
    <row r="34" spans="1:8" ht="15.75">
      <c r="A34" s="92"/>
      <c r="B34" s="91" t="s">
        <v>132</v>
      </c>
      <c r="C34" s="92" t="s">
        <v>133</v>
      </c>
      <c r="D34" s="92"/>
      <c r="E34" s="92"/>
      <c r="F34" s="92"/>
      <c r="G34" s="92"/>
      <c r="H34" s="113">
        <f>IF('E820150A'!B18="","",'E820150A'!B18)</f>
        <v>0.06</v>
      </c>
    </row>
    <row r="35" spans="1:8" ht="15.75">
      <c r="A35" s="92"/>
      <c r="B35" s="92"/>
      <c r="C35" s="92"/>
      <c r="D35" s="92"/>
      <c r="E35" s="92"/>
      <c r="F35" s="92"/>
      <c r="G35" s="92"/>
      <c r="H35" s="92"/>
    </row>
    <row r="36" spans="1:8" ht="15.75">
      <c r="A36" s="92"/>
      <c r="B36" s="92"/>
      <c r="C36" s="92"/>
      <c r="D36" s="92"/>
      <c r="E36" s="92"/>
      <c r="F36" s="91" t="s">
        <v>32</v>
      </c>
      <c r="G36" s="91" t="s">
        <v>131</v>
      </c>
      <c r="H36" s="111">
        <f>IF('E820150A'!B19="","",'E820150A'!B19)</f>
        <v>0.36014150047483384</v>
      </c>
    </row>
    <row r="37" spans="1:8" ht="15.75">
      <c r="A37" s="92"/>
      <c r="B37" s="92"/>
      <c r="C37" s="92"/>
      <c r="D37" s="92"/>
      <c r="F37" s="95" t="s">
        <v>134</v>
      </c>
      <c r="G37" s="91" t="s">
        <v>131</v>
      </c>
      <c r="H37" s="111">
        <f>IF('E820150A'!B20="","",'E820150A'!B20)</f>
        <v>0.64</v>
      </c>
    </row>
    <row r="38" spans="1:8" ht="15.75">
      <c r="A38" s="92"/>
      <c r="B38" s="92"/>
      <c r="C38" s="92"/>
      <c r="D38" s="92"/>
      <c r="E38" s="92"/>
      <c r="F38" s="91" t="s">
        <v>5</v>
      </c>
      <c r="G38" s="91" t="s">
        <v>131</v>
      </c>
      <c r="H38" s="113">
        <v>1</v>
      </c>
    </row>
    <row r="39" spans="1:8" ht="15.75">
      <c r="A39" s="92"/>
      <c r="B39" s="92"/>
      <c r="C39" s="92"/>
      <c r="D39" s="92"/>
      <c r="E39" s="92"/>
      <c r="F39" s="92"/>
      <c r="G39" s="92"/>
      <c r="H39" s="92"/>
    </row>
    <row r="40" spans="1:8" ht="15.75">
      <c r="A40" s="91" t="s">
        <v>135</v>
      </c>
      <c r="B40" s="114">
        <f>IF('E820150A'!B22="","",IF('E820150A'!B22=0,"",'E820150A'!B22))</f>
        <v>50</v>
      </c>
      <c r="C40" s="95" t="s">
        <v>136</v>
      </c>
      <c r="D40" s="95"/>
      <c r="E40" s="95"/>
      <c r="F40" s="95"/>
      <c r="G40" s="91" t="s">
        <v>131</v>
      </c>
      <c r="H40" s="111">
        <f>' Form E820150'!H40</f>
        <v>0.32</v>
      </c>
    </row>
    <row r="41" spans="1:8" ht="15.75">
      <c r="A41" s="91" t="s">
        <v>137</v>
      </c>
      <c r="B41" s="114">
        <f>IF('E820150A'!B23="","",IF('E820150A'!B23=0,"",'E820150A'!B23))</f>
      </c>
      <c r="C41" s="95" t="s">
        <v>138</v>
      </c>
      <c r="D41" s="95"/>
      <c r="E41" s="95"/>
      <c r="F41" s="95"/>
      <c r="G41" s="91" t="s">
        <v>131</v>
      </c>
      <c r="H41" s="111">
        <f>' Form E820150'!H41</f>
      </c>
    </row>
    <row r="42" spans="1:8" ht="15.75">
      <c r="A42" s="91" t="s">
        <v>139</v>
      </c>
      <c r="B42" s="114">
        <f>IF('E820150A'!B24="","",IF('E820150A'!B24=0,"",'E820150A'!B24))</f>
        <v>50</v>
      </c>
      <c r="C42" s="95" t="s">
        <v>140</v>
      </c>
      <c r="D42" s="95"/>
      <c r="E42" s="95"/>
      <c r="F42" s="95"/>
      <c r="G42" s="91" t="s">
        <v>131</v>
      </c>
      <c r="H42" s="111">
        <f>' Form E820150'!H42</f>
        <v>0.32</v>
      </c>
    </row>
    <row r="43" spans="1:8" ht="15.75">
      <c r="A43" s="92"/>
      <c r="B43" s="92"/>
      <c r="C43" s="92"/>
      <c r="D43" s="92"/>
      <c r="E43" s="95" t="s">
        <v>141</v>
      </c>
      <c r="F43" s="95"/>
      <c r="G43" s="91" t="s">
        <v>131</v>
      </c>
      <c r="H43" s="111">
        <f>IF(H40="","",SUM(H40:H42))</f>
        <v>0.64</v>
      </c>
    </row>
    <row r="44" spans="2:8" ht="15.75">
      <c r="B44" s="92"/>
      <c r="C44" s="92"/>
      <c r="D44" s="92"/>
      <c r="E44" s="92"/>
      <c r="F44" s="92"/>
      <c r="G44" s="92"/>
      <c r="H44" s="92"/>
    </row>
    <row r="45" spans="1:8" ht="15.75">
      <c r="A45" s="92" t="s">
        <v>142</v>
      </c>
      <c r="B45" s="92"/>
      <c r="C45" s="95" t="s">
        <v>163</v>
      </c>
      <c r="D45" s="95"/>
      <c r="E45" s="95"/>
      <c r="F45" s="95"/>
      <c r="G45" s="91" t="s">
        <v>131</v>
      </c>
      <c r="H45" s="115">
        <f>IF('E820150A'!B38="","",'E820150A'!B38*0.5935)</f>
        <v>848.1115000000001</v>
      </c>
    </row>
    <row r="46" spans="1:8" ht="15.75">
      <c r="A46" s="92"/>
      <c r="B46" s="92"/>
      <c r="C46" s="92"/>
      <c r="D46" s="95"/>
      <c r="E46" s="95"/>
      <c r="F46" s="95"/>
      <c r="G46" s="92"/>
      <c r="H46" s="100"/>
    </row>
    <row r="47" spans="1:8" ht="15.75">
      <c r="A47" s="92"/>
      <c r="B47" s="92"/>
      <c r="C47" s="95" t="s">
        <v>164</v>
      </c>
      <c r="D47" s="95"/>
      <c r="E47" s="95"/>
      <c r="F47" s="95"/>
      <c r="G47" s="91" t="s">
        <v>131</v>
      </c>
      <c r="H47" s="115">
        <f>IF('E820150A'!B39="","",'E820150A'!B39*0.5935)</f>
      </c>
    </row>
    <row r="48" spans="1:8" ht="15.75">
      <c r="A48" s="92"/>
      <c r="B48" s="92"/>
      <c r="C48" s="92"/>
      <c r="D48" s="92"/>
      <c r="E48" s="92"/>
      <c r="F48" s="92"/>
      <c r="G48" s="92"/>
      <c r="H48" s="100"/>
    </row>
    <row r="49" spans="1:8" ht="15.75">
      <c r="A49" s="92"/>
      <c r="B49" s="92"/>
      <c r="C49" s="95" t="s">
        <v>165</v>
      </c>
      <c r="D49" s="95"/>
      <c r="E49" s="95"/>
      <c r="F49" s="95"/>
      <c r="G49" s="91" t="s">
        <v>131</v>
      </c>
      <c r="H49" s="115">
        <f>IF('E820150A'!B40="","",'E820150A'!B40*0.5935)</f>
        <v>848.1115000000001</v>
      </c>
    </row>
    <row r="50" spans="1:8" ht="15.75">
      <c r="A50" s="92"/>
      <c r="B50" s="92"/>
      <c r="C50" s="92"/>
      <c r="D50" s="95"/>
      <c r="E50" s="95"/>
      <c r="F50" s="95"/>
      <c r="G50" s="92"/>
      <c r="H50" s="92"/>
    </row>
    <row r="51" spans="1:8" ht="15.75">
      <c r="A51" s="92" t="s">
        <v>143</v>
      </c>
      <c r="B51" s="92"/>
      <c r="C51" s="92"/>
      <c r="D51" s="91" t="s">
        <v>144</v>
      </c>
      <c r="E51" s="116">
        <f>IF(C15="","",C15)</f>
        <v>417.824</v>
      </c>
      <c r="F51" s="92" t="s">
        <v>166</v>
      </c>
      <c r="G51" s="92"/>
      <c r="H51" s="92"/>
    </row>
    <row r="52" spans="1:6" ht="15.75">
      <c r="A52" s="92"/>
      <c r="B52" s="92"/>
      <c r="C52" s="118"/>
      <c r="D52" s="91" t="s">
        <v>145</v>
      </c>
      <c r="E52" s="116">
        <f>IF(C11=0,"",C11)</f>
      </c>
      <c r="F52" s="92" t="s">
        <v>166</v>
      </c>
    </row>
    <row r="53" spans="1:8" ht="15.75">
      <c r="A53" s="92"/>
      <c r="B53" s="92"/>
      <c r="C53" s="118"/>
      <c r="D53" s="91" t="s">
        <v>146</v>
      </c>
      <c r="E53" s="116">
        <f>IF(C13=0,"",C13)</f>
      </c>
      <c r="F53" s="92" t="s">
        <v>166</v>
      </c>
      <c r="G53" s="92"/>
      <c r="H53" s="92"/>
    </row>
    <row r="54" spans="1:8" ht="15.75">
      <c r="A54" s="92"/>
      <c r="B54" s="92"/>
      <c r="C54" s="118"/>
      <c r="D54" s="91" t="s">
        <v>147</v>
      </c>
      <c r="E54" s="116">
        <f>IF(H23="","",H23)</f>
        <v>167.1296</v>
      </c>
      <c r="F54" s="92" t="s">
        <v>166</v>
      </c>
      <c r="G54" s="92"/>
      <c r="H54" s="92"/>
    </row>
    <row r="55" spans="1:8" ht="15.75">
      <c r="A55" s="92"/>
      <c r="B55" s="92"/>
      <c r="C55" s="118"/>
      <c r="D55" s="91" t="s">
        <v>148</v>
      </c>
      <c r="E55" s="116">
        <f>IF(H45="","",H45)</f>
        <v>848.1115000000001</v>
      </c>
      <c r="F55" s="92" t="s">
        <v>166</v>
      </c>
      <c r="G55" s="92"/>
      <c r="H55" s="92"/>
    </row>
    <row r="56" spans="1:8" ht="15.75">
      <c r="A56" s="92"/>
      <c r="B56" s="92"/>
      <c r="C56" s="118"/>
      <c r="D56" s="91" t="s">
        <v>149</v>
      </c>
      <c r="E56" s="116">
        <f>IF(H47="","",H47)</f>
      </c>
      <c r="F56" s="92" t="s">
        <v>166</v>
      </c>
      <c r="G56" s="92"/>
      <c r="H56" s="92"/>
    </row>
    <row r="57" spans="1:8" ht="15.75">
      <c r="A57" s="92"/>
      <c r="B57" s="92"/>
      <c r="C57" s="118"/>
      <c r="D57" s="91" t="s">
        <v>150</v>
      </c>
      <c r="E57" s="116">
        <f>IF(H49="","",H49)</f>
        <v>848.1115000000001</v>
      </c>
      <c r="F57" s="92" t="s">
        <v>166</v>
      </c>
      <c r="G57" s="92"/>
      <c r="H57" s="92"/>
    </row>
    <row r="58" spans="1:8" ht="15.75">
      <c r="A58" s="92"/>
      <c r="B58" s="92"/>
      <c r="C58" s="92"/>
      <c r="D58" s="92"/>
      <c r="E58" s="92"/>
      <c r="F58" s="92"/>
      <c r="G58" s="92"/>
      <c r="H58" s="92"/>
    </row>
    <row r="59" spans="1:8" ht="15">
      <c r="A59" s="68" t="s">
        <v>225</v>
      </c>
      <c r="B59" s="66"/>
      <c r="C59" s="66"/>
      <c r="D59" s="66"/>
      <c r="E59" s="66"/>
      <c r="F59" s="66"/>
      <c r="G59" s="66"/>
      <c r="H59" s="66"/>
    </row>
  </sheetData>
  <sheetProtection password="D8FF" sheet="1" objects="1" scenarios="1"/>
  <mergeCells count="3">
    <mergeCell ref="D19:E19"/>
    <mergeCell ref="D20:E20"/>
    <mergeCell ref="D21:E21"/>
  </mergeCells>
  <printOptions/>
  <pageMargins left="0.5" right="0.5" top="0.5" bottom="0.5" header="0.5" footer="0.5"/>
  <pageSetup horizontalDpi="300" verticalDpi="3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1"/>
  <sheetViews>
    <sheetView zoomScalePageLayoutView="0" workbookViewId="0" topLeftCell="A1">
      <selection activeCell="B14" sqref="B14"/>
    </sheetView>
  </sheetViews>
  <sheetFormatPr defaultColWidth="8.88671875" defaultRowHeight="15"/>
  <cols>
    <col min="1" max="1" width="12.99609375" style="0" customWidth="1"/>
  </cols>
  <sheetData>
    <row r="1" spans="2:7" ht="15.75">
      <c r="B1" s="1">
        <v>1</v>
      </c>
      <c r="G1" t="str">
        <f>'Mix Info'!B27</f>
        <v>E</v>
      </c>
    </row>
    <row r="2" spans="1:7" ht="15">
      <c r="A2" s="2" t="s">
        <v>20</v>
      </c>
      <c r="B2" s="3" t="str">
        <f>IF('Mix Info'!B3="","",'Mix Info'!B3)</f>
        <v>SCC</v>
      </c>
      <c r="G2">
        <f>IF(G1="E",PRODUCT(62.4*27),IF(G1="M","1000",0))</f>
        <v>1684.8</v>
      </c>
    </row>
    <row r="3" spans="1:2" ht="15">
      <c r="A3" s="2" t="s">
        <v>21</v>
      </c>
      <c r="B3" s="4">
        <f>IF('Mix Info'!B$6="","",('Mix Info'!B$6))</f>
      </c>
    </row>
    <row r="4" spans="1:2" ht="15">
      <c r="A4" s="2" t="s">
        <v>22</v>
      </c>
      <c r="B4" s="24">
        <f>IF('Mix Info'!B7="","",('Mix Info'!B7))</f>
        <v>3.14</v>
      </c>
    </row>
    <row r="5" spans="1:2" ht="15">
      <c r="A5" s="2" t="s">
        <v>23</v>
      </c>
      <c r="B5" s="3">
        <f>IF('Mix Info'!B10="","",IF('Mix Info'!B10=0,0,'Mix Info'!B10))</f>
      </c>
    </row>
    <row r="6" spans="1:2" ht="15">
      <c r="A6" s="2" t="s">
        <v>24</v>
      </c>
      <c r="B6" s="14">
        <f>IF('Mix Info'!B11="","",'Mix Info'!B11)</f>
      </c>
    </row>
    <row r="7" spans="1:2" ht="15">
      <c r="A7" s="2" t="s">
        <v>82</v>
      </c>
      <c r="B7" s="3">
        <f>IF('Mix Info'!B13="","",IF('Mix Info'!B13=0,"",'Mix Info'!B13))</f>
      </c>
    </row>
    <row r="8" spans="1:2" ht="15">
      <c r="A8" s="2" t="s">
        <v>83</v>
      </c>
      <c r="B8" s="14">
        <f>IF('Mix Info'!B14="","",'Mix Info'!B14)</f>
      </c>
    </row>
    <row r="9" spans="1:2" ht="15">
      <c r="A9" s="2" t="s">
        <v>25</v>
      </c>
      <c r="B9" s="15">
        <f>IF('Mix Info'!B16="","",'Mix Info'!B16)</f>
        <v>2.65</v>
      </c>
    </row>
    <row r="10" spans="1:2" ht="15">
      <c r="A10" s="2" t="s">
        <v>89</v>
      </c>
      <c r="B10" s="15">
        <f>IF('Mix Info'!B18="","",'Mix Info'!B18)</f>
      </c>
    </row>
    <row r="11" spans="1:2" ht="15">
      <c r="A11" s="2" t="s">
        <v>26</v>
      </c>
      <c r="B11" s="15">
        <f>IF('Mix Info'!B20="","",'Mix Info'!B20)</f>
        <v>2.65</v>
      </c>
    </row>
    <row r="12" ht="15">
      <c r="A12" s="6"/>
    </row>
    <row r="13" spans="1:2" ht="15">
      <c r="A13" s="5" t="s">
        <v>27</v>
      </c>
      <c r="B13" s="16">
        <f>IF(B4="","",VLOOKUP(B2,$B$44:$H$110,2))</f>
        <v>0.133</v>
      </c>
    </row>
    <row r="14" spans="1:2" ht="15">
      <c r="A14" s="7" t="s">
        <v>28</v>
      </c>
      <c r="B14" s="17">
        <f>IF(B4="","",ROUND(((B34/(B4*$G$2))),3))</f>
        <v>0.133</v>
      </c>
    </row>
    <row r="15" spans="1:2" ht="15">
      <c r="A15" s="7" t="s">
        <v>29</v>
      </c>
      <c r="B15" s="16">
        <f>IF(B5=0,"",IF(B5="","",ROUND((B35/(B6*$G$2)),3)))</f>
      </c>
    </row>
    <row r="16" spans="1:2" ht="15">
      <c r="A16" s="7" t="s">
        <v>84</v>
      </c>
      <c r="B16" s="16">
        <f>IF(B7="","",IF(B7=0,"",ROUND((B36/(B8*$G$2)),3)))</f>
      </c>
    </row>
    <row r="17" spans="1:2" ht="15">
      <c r="A17" s="7" t="s">
        <v>30</v>
      </c>
      <c r="B17" s="16">
        <f>IF(B37="","",(B37/$G$2))</f>
        <v>0.16714150047483384</v>
      </c>
    </row>
    <row r="18" spans="1:3" ht="15">
      <c r="A18" s="7" t="s">
        <v>31</v>
      </c>
      <c r="B18" s="126">
        <f>IF('Mix Info'!B3="X-2",0,(IF('Mix Info'!B3="X-3",0,(IF('Mix Info'!B3="X-4",0,0.06)))))</f>
        <v>0.06</v>
      </c>
      <c r="C18" s="126"/>
    </row>
    <row r="19" spans="1:2" ht="15">
      <c r="A19" s="5" t="s">
        <v>32</v>
      </c>
      <c r="B19" s="16">
        <f>IF(B17="","",SUM(B14:B18))</f>
        <v>0.36014150047483384</v>
      </c>
    </row>
    <row r="20" spans="1:2" ht="15">
      <c r="A20" s="5" t="s">
        <v>33</v>
      </c>
      <c r="B20" s="16">
        <f>IF(B19="","",ROUND((B21-B19),3))</f>
        <v>0.64</v>
      </c>
    </row>
    <row r="21" spans="1:2" ht="15">
      <c r="A21" s="5" t="s">
        <v>5</v>
      </c>
      <c r="B21" s="18">
        <v>1</v>
      </c>
    </row>
    <row r="22" spans="1:2" ht="15">
      <c r="A22" s="8" t="s">
        <v>34</v>
      </c>
      <c r="B22" s="9">
        <f>IF(B20="",0,VLOOKUP(B$2,$B44:$H110,3))</f>
        <v>50</v>
      </c>
    </row>
    <row r="23" spans="1:2" ht="15">
      <c r="A23" s="8" t="s">
        <v>87</v>
      </c>
      <c r="B23" s="9">
        <f>IF(B19="",0,VLOOKUP(B$2,$B44:$H110,7))</f>
        <v>0</v>
      </c>
    </row>
    <row r="24" spans="1:2" ht="15">
      <c r="A24" s="8" t="s">
        <v>35</v>
      </c>
      <c r="B24" s="9">
        <f>IF(B20="",0,VLOOKUP(B$2,$B44:$H110,4))</f>
        <v>50</v>
      </c>
    </row>
    <row r="25" spans="1:2" ht="15">
      <c r="A25" s="5" t="s">
        <v>36</v>
      </c>
      <c r="B25" s="16">
        <f>IF(B20="","",ROUND(((B20)*(B22/100)),3))</f>
        <v>0.32</v>
      </c>
    </row>
    <row r="26" spans="1:2" ht="15">
      <c r="A26" s="5" t="s">
        <v>88</v>
      </c>
      <c r="B26" s="16">
        <f>IF(B23=0,0,IF(B23="",0,IF(B23="","",ROUND(((B20)*(B23/100)),3))))</f>
        <v>0</v>
      </c>
    </row>
    <row r="27" spans="1:2" ht="15">
      <c r="A27" s="5" t="s">
        <v>37</v>
      </c>
      <c r="B27" s="16">
        <f>IF(B20="","",ROUND(((B20)*(B24/100)),3))</f>
        <v>0.32</v>
      </c>
    </row>
    <row r="28" spans="1:2" ht="15.75" customHeight="1">
      <c r="A28" s="5" t="s">
        <v>38</v>
      </c>
      <c r="B28" s="16">
        <f>IF(B27="","",SUM(B25:B27))</f>
        <v>0.64</v>
      </c>
    </row>
    <row r="29" spans="1:2" ht="15">
      <c r="A29" s="6" t="s">
        <v>39</v>
      </c>
      <c r="B29" s="18">
        <f>IF(B25="","",ROUND((B20-B26-B27),3))</f>
        <v>0.32</v>
      </c>
    </row>
    <row r="30" spans="1:2" ht="15">
      <c r="A30" s="6" t="s">
        <v>86</v>
      </c>
      <c r="B30" s="18">
        <f>IF(B23=0,"",IF(B23="","",ROUND((B28-B27-B25),3)))</f>
      </c>
    </row>
    <row r="31" spans="1:2" ht="15">
      <c r="A31" s="10" t="s">
        <v>40</v>
      </c>
      <c r="B31" s="19">
        <f>IF(B27="","",ROUND((B28-B25-B26),3))</f>
        <v>0.32</v>
      </c>
    </row>
    <row r="33" spans="1:4" ht="15">
      <c r="A33" s="7" t="s">
        <v>3</v>
      </c>
      <c r="B33" s="20">
        <f>IF(B13="","",ROUND((B13*B4*$G$2),0))</f>
        <v>704</v>
      </c>
      <c r="C33">
        <f>IF($B$3="IS(20)",($B$33*0.8),IF($B3="IS(25)",$B$33*0.75,IF($B3="IP(25)",$B$33*0.75,IF($B3="IL(10)",$B$33*0.9,$B$33))))</f>
        <v>704</v>
      </c>
      <c r="D33">
        <f>IF($B$3="IS(20)",($B$33-$C$33),IF($B3="IS(25)",($B$33-$C$33),IF($B3="IP(25)",($B$33-$C$33),IF($B3="IL(10)",($B$33-$C$33),0))))</f>
        <v>0</v>
      </c>
    </row>
    <row r="34" spans="1:3" ht="15">
      <c r="A34" s="5" t="s">
        <v>41</v>
      </c>
      <c r="B34" s="20">
        <f>IF(B4="","",(B33-B35-B36))</f>
        <v>704</v>
      </c>
      <c r="C34" s="134">
        <f>IF($B$3="IS(20)",0.8,IF($B$3="IS(25)",0.75,IF($B$3="IP(25)",0.75,IF($B$3="IL(10)",0.9,1))))</f>
        <v>1</v>
      </c>
    </row>
    <row r="35" spans="1:7" ht="15">
      <c r="A35" s="5" t="s">
        <v>4</v>
      </c>
      <c r="B35" s="20">
        <f>IF(B5="",0,ROUND(((B33)*(B5/100)),0))</f>
        <v>0</v>
      </c>
      <c r="C35">
        <f>$B$34*$C$34</f>
        <v>704</v>
      </c>
      <c r="D35">
        <f>IF($B$3="IS(20)",($B$34*0.2),IF($B$3="IS(25)",($B$34*0.25),IF($B$3="IP(25)",($B$34*0.25),IF($B$3="IL(10)",($B$34*0.1),0))))</f>
        <v>0</v>
      </c>
      <c r="E35">
        <f>$B$35+$B$36</f>
        <v>0</v>
      </c>
      <c r="F35">
        <f>C35+D35+E35</f>
        <v>704</v>
      </c>
      <c r="G35">
        <f>((D35+E35)/B33)*100</f>
        <v>0</v>
      </c>
    </row>
    <row r="36" spans="1:2" ht="15">
      <c r="A36" s="5" t="s">
        <v>7</v>
      </c>
      <c r="B36" s="20">
        <f>IF(B$7="",0,ROUND((B$7/100)*(B$33),0))</f>
        <v>0</v>
      </c>
    </row>
    <row r="37" spans="1:4" ht="15">
      <c r="A37" s="5" t="s">
        <v>42</v>
      </c>
      <c r="B37" s="21">
        <f>IF(B34="","",IF('Mix Info'!B25&gt;0,'Mix Info'!B25*B33,(VLOOKUP(B2,$B$44:$H$110,5)*(B33))))</f>
        <v>281.6</v>
      </c>
      <c r="C37" s="37">
        <f>IF(B34="","",IF('Mix Info'!B25&gt;0,'Mix Info'!B25,ROUND((VLOOKUP(B2,$B$44:$H$110,5)),3)))</f>
        <v>0.4</v>
      </c>
      <c r="D37" s="37">
        <f>IF(B34="","",ROUND((VLOOKUP(B2,$B$44:$H$110,6)),3))</f>
        <v>0.45</v>
      </c>
    </row>
    <row r="38" spans="1:3" ht="15">
      <c r="A38" s="5" t="s">
        <v>43</v>
      </c>
      <c r="B38" s="20">
        <f>IF(B25="","",ROUND((B29*B9*$G$2),0))</f>
        <v>1429</v>
      </c>
      <c r="C38" s="35" t="str">
        <f>IF('Mix Info'!B21="","",'Mix Info'!B21)</f>
        <v>SCC</v>
      </c>
    </row>
    <row r="39" spans="1:3" ht="15">
      <c r="A39" s="5" t="s">
        <v>85</v>
      </c>
      <c r="B39" s="20">
        <f>IF(B26=0,"",IF(B26="","",ROUND((B30*B10*$G$2),0)))</f>
      </c>
      <c r="C39" s="35">
        <f>IF('Mix Info'!B25="","",'Mix Info'!B25)</f>
      </c>
    </row>
    <row r="40" spans="1:3" ht="15">
      <c r="A40" s="5" t="s">
        <v>44</v>
      </c>
      <c r="B40" s="20">
        <f>IF(B27="","",ROUND((B31*B11*$G$2),0))</f>
        <v>1429</v>
      </c>
      <c r="C40" s="35"/>
    </row>
    <row r="41" spans="1:7" ht="15">
      <c r="A41" s="6"/>
      <c r="B41" s="6"/>
      <c r="C41" s="6"/>
      <c r="D41" s="36"/>
      <c r="E41" s="36"/>
      <c r="F41" s="11"/>
      <c r="G41" s="6"/>
    </row>
    <row r="42" spans="1:8" ht="15">
      <c r="A42" s="6"/>
      <c r="C42" s="12" t="s">
        <v>45</v>
      </c>
      <c r="D42" s="12" t="s">
        <v>46</v>
      </c>
      <c r="E42" s="12" t="s">
        <v>47</v>
      </c>
      <c r="F42" s="12" t="s">
        <v>48</v>
      </c>
      <c r="G42" s="12" t="s">
        <v>49</v>
      </c>
      <c r="H42" s="12" t="s">
        <v>265</v>
      </c>
    </row>
    <row r="43" spans="1:8" ht="15">
      <c r="A43" s="6"/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</row>
    <row r="44" spans="1:8" ht="15">
      <c r="A44" s="22" t="s">
        <v>50</v>
      </c>
      <c r="B44" s="22" t="s">
        <v>50</v>
      </c>
      <c r="C44" s="13">
        <v>0.101</v>
      </c>
      <c r="D44" s="7">
        <v>40</v>
      </c>
      <c r="E44" s="7">
        <v>60</v>
      </c>
      <c r="F44" s="13">
        <v>0.47400000000000003</v>
      </c>
      <c r="G44" s="13">
        <v>0.532</v>
      </c>
      <c r="H44" s="13">
        <v>0</v>
      </c>
    </row>
    <row r="45" spans="1:8" ht="15">
      <c r="A45" s="22" t="s">
        <v>51</v>
      </c>
      <c r="B45" s="22" t="s">
        <v>51</v>
      </c>
      <c r="C45" s="13">
        <v>0.10400000000000001</v>
      </c>
      <c r="D45" s="7">
        <v>45</v>
      </c>
      <c r="E45" s="7">
        <v>55</v>
      </c>
      <c r="F45" s="13">
        <v>0.47400000000000003</v>
      </c>
      <c r="G45" s="13">
        <v>0.532</v>
      </c>
      <c r="H45" s="13">
        <v>0</v>
      </c>
    </row>
    <row r="46" spans="1:8" ht="15">
      <c r="A46" s="22" t="s">
        <v>52</v>
      </c>
      <c r="B46" s="22" t="s">
        <v>52</v>
      </c>
      <c r="C46" s="13">
        <v>0.108</v>
      </c>
      <c r="D46" s="7">
        <v>50</v>
      </c>
      <c r="E46" s="7">
        <v>50</v>
      </c>
      <c r="F46" s="13">
        <v>0.47400000000000003</v>
      </c>
      <c r="G46" s="13">
        <v>0.532</v>
      </c>
      <c r="H46" s="13">
        <v>0</v>
      </c>
    </row>
    <row r="47" spans="1:8" ht="15">
      <c r="A47" s="22" t="s">
        <v>53</v>
      </c>
      <c r="B47" s="22" t="s">
        <v>53</v>
      </c>
      <c r="C47" s="13">
        <v>0.111</v>
      </c>
      <c r="D47" s="7">
        <v>55</v>
      </c>
      <c r="E47" s="7">
        <v>45</v>
      </c>
      <c r="F47" s="13">
        <v>0.47400000000000003</v>
      </c>
      <c r="G47" s="13">
        <v>0.532</v>
      </c>
      <c r="H47" s="13">
        <v>0</v>
      </c>
    </row>
    <row r="48" spans="1:8" ht="16.5" customHeight="1">
      <c r="A48" s="22" t="s">
        <v>54</v>
      </c>
      <c r="B48" s="22" t="s">
        <v>54</v>
      </c>
      <c r="C48" s="13">
        <v>0.115</v>
      </c>
      <c r="D48" s="7">
        <v>60</v>
      </c>
      <c r="E48" s="7">
        <v>40</v>
      </c>
      <c r="F48" s="13">
        <v>0.47400000000000003</v>
      </c>
      <c r="G48" s="13">
        <v>0.532</v>
      </c>
      <c r="H48" s="13">
        <v>0</v>
      </c>
    </row>
    <row r="49" spans="1:8" ht="15">
      <c r="A49" s="123" t="s">
        <v>183</v>
      </c>
      <c r="B49" s="123" t="s">
        <v>183</v>
      </c>
      <c r="C49" s="124">
        <v>0.107</v>
      </c>
      <c r="D49" s="125">
        <v>40</v>
      </c>
      <c r="E49" s="125">
        <v>60</v>
      </c>
      <c r="F49" s="124">
        <v>0.47400000000000003</v>
      </c>
      <c r="G49" s="124">
        <v>0.532</v>
      </c>
      <c r="H49" s="13">
        <v>0</v>
      </c>
    </row>
    <row r="50" spans="1:8" ht="15">
      <c r="A50" s="123" t="s">
        <v>184</v>
      </c>
      <c r="B50" s="123" t="s">
        <v>184</v>
      </c>
      <c r="C50" s="124">
        <v>0.111</v>
      </c>
      <c r="D50" s="125">
        <v>45</v>
      </c>
      <c r="E50" s="125">
        <v>55</v>
      </c>
      <c r="F50" s="124">
        <v>0.47400000000000003</v>
      </c>
      <c r="G50" s="124">
        <v>0.532</v>
      </c>
      <c r="H50" s="13">
        <v>0</v>
      </c>
    </row>
    <row r="51" spans="1:8" ht="15">
      <c r="A51" s="123" t="s">
        <v>185</v>
      </c>
      <c r="B51" s="123" t="s">
        <v>185</v>
      </c>
      <c r="C51" s="124">
        <v>0.115</v>
      </c>
      <c r="D51" s="125">
        <v>50</v>
      </c>
      <c r="E51" s="125">
        <v>50</v>
      </c>
      <c r="F51" s="124">
        <v>0.47400000000000003</v>
      </c>
      <c r="G51" s="124">
        <v>0.532</v>
      </c>
      <c r="H51" s="13">
        <v>0</v>
      </c>
    </row>
    <row r="52" spans="1:8" ht="15">
      <c r="A52" s="123" t="s">
        <v>186</v>
      </c>
      <c r="B52" s="123" t="s">
        <v>186</v>
      </c>
      <c r="C52" s="124">
        <v>0.11800000000000001</v>
      </c>
      <c r="D52" s="125">
        <v>55</v>
      </c>
      <c r="E52" s="125">
        <v>45</v>
      </c>
      <c r="F52" s="124">
        <v>0.47400000000000003</v>
      </c>
      <c r="G52" s="124">
        <v>0.532</v>
      </c>
      <c r="H52" s="13">
        <v>0</v>
      </c>
    </row>
    <row r="53" spans="1:8" ht="15">
      <c r="A53" s="22" t="s">
        <v>76</v>
      </c>
      <c r="B53" s="22" t="s">
        <v>76</v>
      </c>
      <c r="C53" s="13">
        <v>0.135</v>
      </c>
      <c r="D53" s="7">
        <v>95</v>
      </c>
      <c r="E53" s="7">
        <v>5</v>
      </c>
      <c r="F53" s="13">
        <v>0.444</v>
      </c>
      <c r="G53" s="13">
        <v>0.467</v>
      </c>
      <c r="H53" s="13">
        <v>0</v>
      </c>
    </row>
    <row r="54" spans="1:8" ht="15">
      <c r="A54" s="22" t="s">
        <v>74</v>
      </c>
      <c r="B54" s="22" t="s">
        <v>74</v>
      </c>
      <c r="C54" s="13">
        <v>0.107</v>
      </c>
      <c r="D54" s="7">
        <v>70</v>
      </c>
      <c r="E54" s="7">
        <v>30</v>
      </c>
      <c r="F54" s="13">
        <v>0.44</v>
      </c>
      <c r="G54" s="13">
        <v>0.56</v>
      </c>
      <c r="H54" s="13">
        <v>0</v>
      </c>
    </row>
    <row r="55" spans="1:8" ht="15">
      <c r="A55" s="22" t="s">
        <v>55</v>
      </c>
      <c r="B55" s="22" t="s">
        <v>55</v>
      </c>
      <c r="C55" s="13">
        <v>0.088</v>
      </c>
      <c r="D55" s="7">
        <v>40</v>
      </c>
      <c r="E55" s="7">
        <v>60</v>
      </c>
      <c r="F55" s="13">
        <v>0.536</v>
      </c>
      <c r="G55" s="13">
        <v>0.6</v>
      </c>
      <c r="H55" s="13">
        <v>0</v>
      </c>
    </row>
    <row r="56" spans="1:8" ht="15">
      <c r="A56" s="22" t="s">
        <v>56</v>
      </c>
      <c r="B56" s="22" t="s">
        <v>56</v>
      </c>
      <c r="C56" s="13">
        <v>0.091</v>
      </c>
      <c r="D56" s="7">
        <v>45</v>
      </c>
      <c r="E56" s="7">
        <v>55</v>
      </c>
      <c r="F56" s="13">
        <v>0.536</v>
      </c>
      <c r="G56" s="13">
        <v>0.6</v>
      </c>
      <c r="H56" s="13">
        <v>0</v>
      </c>
    </row>
    <row r="57" spans="1:8" ht="15">
      <c r="A57" s="22" t="s">
        <v>57</v>
      </c>
      <c r="B57" s="22" t="s">
        <v>57</v>
      </c>
      <c r="C57" s="13">
        <v>0.093</v>
      </c>
      <c r="D57" s="7">
        <v>50</v>
      </c>
      <c r="E57" s="7">
        <v>50</v>
      </c>
      <c r="F57" s="13">
        <v>0.536</v>
      </c>
      <c r="G57" s="13">
        <v>0.6</v>
      </c>
      <c r="H57" s="13">
        <v>0</v>
      </c>
    </row>
    <row r="58" spans="1:8" ht="15">
      <c r="A58" s="22" t="s">
        <v>58</v>
      </c>
      <c r="B58" s="22" t="s">
        <v>58</v>
      </c>
      <c r="C58" s="13">
        <v>0.096</v>
      </c>
      <c r="D58" s="7">
        <v>55</v>
      </c>
      <c r="E58" s="7">
        <v>45</v>
      </c>
      <c r="F58" s="13">
        <v>0.536</v>
      </c>
      <c r="G58" s="13">
        <v>0.6</v>
      </c>
      <c r="H58" s="13">
        <v>0</v>
      </c>
    </row>
    <row r="59" spans="1:8" ht="15">
      <c r="A59" s="22" t="s">
        <v>59</v>
      </c>
      <c r="B59" s="22" t="s">
        <v>59</v>
      </c>
      <c r="C59" s="13">
        <v>0.099</v>
      </c>
      <c r="D59" s="7">
        <v>60</v>
      </c>
      <c r="E59" s="7">
        <v>40</v>
      </c>
      <c r="F59" s="13">
        <v>0.536</v>
      </c>
      <c r="G59" s="13">
        <v>0.6</v>
      </c>
      <c r="H59" s="13">
        <v>0</v>
      </c>
    </row>
    <row r="60" spans="1:8" ht="15">
      <c r="A60" s="22" t="s">
        <v>60</v>
      </c>
      <c r="B60" s="22" t="s">
        <v>60</v>
      </c>
      <c r="C60" s="13">
        <v>0.10200000000000001</v>
      </c>
      <c r="D60" s="7">
        <v>65</v>
      </c>
      <c r="E60" s="7">
        <v>35</v>
      </c>
      <c r="F60" s="13">
        <v>0.536</v>
      </c>
      <c r="G60" s="13">
        <v>0.6</v>
      </c>
      <c r="H60" s="13">
        <v>0</v>
      </c>
    </row>
    <row r="61" spans="1:8" ht="15">
      <c r="A61" s="22" t="s">
        <v>61</v>
      </c>
      <c r="B61" s="22" t="s">
        <v>61</v>
      </c>
      <c r="C61" s="13">
        <v>0.105</v>
      </c>
      <c r="D61" s="7">
        <v>70</v>
      </c>
      <c r="E61" s="7">
        <v>30</v>
      </c>
      <c r="F61" s="13">
        <v>0.536</v>
      </c>
      <c r="G61" s="13">
        <v>0.6</v>
      </c>
      <c r="H61" s="13">
        <v>0</v>
      </c>
    </row>
    <row r="62" spans="1:8" ht="15">
      <c r="A62" s="123" t="s">
        <v>187</v>
      </c>
      <c r="B62" s="123" t="s">
        <v>187</v>
      </c>
      <c r="C62" s="124">
        <v>0.094</v>
      </c>
      <c r="D62" s="125">
        <v>40</v>
      </c>
      <c r="E62" s="125">
        <v>60</v>
      </c>
      <c r="F62" s="124">
        <v>0.536</v>
      </c>
      <c r="G62" s="124">
        <v>0.6</v>
      </c>
      <c r="H62" s="13">
        <v>0</v>
      </c>
    </row>
    <row r="63" spans="1:8" ht="15">
      <c r="A63" s="123" t="s">
        <v>188</v>
      </c>
      <c r="B63" s="123" t="s">
        <v>188</v>
      </c>
      <c r="C63" s="124">
        <v>0.097</v>
      </c>
      <c r="D63" s="125">
        <v>45</v>
      </c>
      <c r="E63" s="125">
        <v>55</v>
      </c>
      <c r="F63" s="124">
        <v>0.536</v>
      </c>
      <c r="G63" s="124">
        <v>0.6</v>
      </c>
      <c r="H63" s="13">
        <v>0</v>
      </c>
    </row>
    <row r="64" spans="1:8" ht="15">
      <c r="A64" s="123" t="s">
        <v>189</v>
      </c>
      <c r="B64" s="123" t="s">
        <v>189</v>
      </c>
      <c r="C64" s="124">
        <v>0.099</v>
      </c>
      <c r="D64" s="125">
        <v>50</v>
      </c>
      <c r="E64" s="125">
        <v>50</v>
      </c>
      <c r="F64" s="124">
        <v>0.536</v>
      </c>
      <c r="G64" s="124">
        <v>0.6</v>
      </c>
      <c r="H64" s="13">
        <v>0</v>
      </c>
    </row>
    <row r="65" spans="1:8" ht="15">
      <c r="A65" s="123" t="s">
        <v>190</v>
      </c>
      <c r="B65" s="123" t="s">
        <v>190</v>
      </c>
      <c r="C65" s="124">
        <v>0.10200000000000001</v>
      </c>
      <c r="D65" s="125">
        <v>55</v>
      </c>
      <c r="E65" s="125">
        <v>45</v>
      </c>
      <c r="F65" s="124">
        <v>0.536</v>
      </c>
      <c r="G65" s="124">
        <v>0.6</v>
      </c>
      <c r="H65" s="13">
        <v>0</v>
      </c>
    </row>
    <row r="66" spans="1:8" ht="15">
      <c r="A66" s="154" t="s">
        <v>90</v>
      </c>
      <c r="B66" s="154" t="s">
        <v>90</v>
      </c>
      <c r="C66" s="155">
        <v>0.114</v>
      </c>
      <c r="D66" s="153">
        <f>'Mix Info'!$F$8</f>
        <v>50</v>
      </c>
      <c r="E66" s="153">
        <f>'Mix Info'!$F$6</f>
        <v>50</v>
      </c>
      <c r="F66" s="156">
        <v>0.4</v>
      </c>
      <c r="G66" s="156">
        <v>0.45</v>
      </c>
      <c r="H66" s="157">
        <f>'Mix Info'!$F$7</f>
        <v>0</v>
      </c>
    </row>
    <row r="67" spans="1:8" ht="15">
      <c r="A67" s="22" t="s">
        <v>77</v>
      </c>
      <c r="B67" s="22" t="s">
        <v>77</v>
      </c>
      <c r="C67" s="13">
        <v>0.135</v>
      </c>
      <c r="D67" s="7">
        <v>95</v>
      </c>
      <c r="E67" s="7">
        <v>5</v>
      </c>
      <c r="F67" s="13">
        <v>0.444</v>
      </c>
      <c r="G67" s="13">
        <v>0.467</v>
      </c>
      <c r="H67" s="13">
        <v>0</v>
      </c>
    </row>
    <row r="68" spans="1:8" ht="15">
      <c r="A68" s="22" t="s">
        <v>75</v>
      </c>
      <c r="B68" s="22" t="s">
        <v>75</v>
      </c>
      <c r="C68" s="13">
        <v>0.098</v>
      </c>
      <c r="D68" s="7">
        <v>70</v>
      </c>
      <c r="E68" s="7">
        <v>30</v>
      </c>
      <c r="F68" s="13">
        <v>0.52</v>
      </c>
      <c r="G68" s="13">
        <v>0.597</v>
      </c>
      <c r="H68" s="13">
        <v>0</v>
      </c>
    </row>
    <row r="69" spans="1:8" ht="15">
      <c r="A69" s="22" t="s">
        <v>62</v>
      </c>
      <c r="B69" s="22" t="s">
        <v>62</v>
      </c>
      <c r="C69" s="13">
        <v>0.11</v>
      </c>
      <c r="D69" s="7">
        <v>40</v>
      </c>
      <c r="E69" s="7">
        <v>60</v>
      </c>
      <c r="F69" s="13">
        <v>0.43</v>
      </c>
      <c r="G69" s="13">
        <v>0.488</v>
      </c>
      <c r="H69" s="13">
        <v>0</v>
      </c>
    </row>
    <row r="70" spans="1:8" ht="15">
      <c r="A70" s="22" t="s">
        <v>63</v>
      </c>
      <c r="B70" s="22" t="s">
        <v>63</v>
      </c>
      <c r="C70" s="13">
        <v>0.114</v>
      </c>
      <c r="D70" s="7">
        <v>45</v>
      </c>
      <c r="E70" s="7">
        <v>55</v>
      </c>
      <c r="F70" s="13">
        <v>0.43</v>
      </c>
      <c r="G70" s="13">
        <v>0.488</v>
      </c>
      <c r="H70" s="13">
        <v>0</v>
      </c>
    </row>
    <row r="71" spans="1:8" ht="15">
      <c r="A71" s="22" t="s">
        <v>66</v>
      </c>
      <c r="B71" s="22" t="s">
        <v>66</v>
      </c>
      <c r="C71" s="13">
        <v>0.108</v>
      </c>
      <c r="D71" s="7">
        <v>45</v>
      </c>
      <c r="E71" s="7">
        <v>55</v>
      </c>
      <c r="F71" s="13">
        <v>0.43</v>
      </c>
      <c r="G71" s="13">
        <v>0.489</v>
      </c>
      <c r="H71" s="13">
        <v>0</v>
      </c>
    </row>
    <row r="72" spans="1:8" ht="15">
      <c r="A72" s="22" t="s">
        <v>18</v>
      </c>
      <c r="B72" s="22" t="s">
        <v>18</v>
      </c>
      <c r="C72" s="13">
        <v>0.11800000000000001</v>
      </c>
      <c r="D72" s="7">
        <v>50</v>
      </c>
      <c r="E72" s="7">
        <v>50</v>
      </c>
      <c r="F72" s="13">
        <v>0.43</v>
      </c>
      <c r="G72" s="13">
        <v>0.488</v>
      </c>
      <c r="H72" s="13">
        <v>0</v>
      </c>
    </row>
    <row r="73" spans="1:8" ht="15">
      <c r="A73" s="22" t="s">
        <v>67</v>
      </c>
      <c r="B73" s="22" t="s">
        <v>67</v>
      </c>
      <c r="C73" s="13">
        <v>0.112</v>
      </c>
      <c r="D73" s="7">
        <v>50</v>
      </c>
      <c r="E73" s="7">
        <v>50</v>
      </c>
      <c r="F73" s="13">
        <v>0.43</v>
      </c>
      <c r="G73" s="13">
        <v>0.489</v>
      </c>
      <c r="H73" s="13">
        <v>0</v>
      </c>
    </row>
    <row r="74" spans="1:8" ht="15">
      <c r="A74" s="22" t="s">
        <v>64</v>
      </c>
      <c r="B74" s="22" t="s">
        <v>64</v>
      </c>
      <c r="C74" s="13">
        <v>0.123</v>
      </c>
      <c r="D74" s="7">
        <v>55</v>
      </c>
      <c r="E74" s="7">
        <v>45</v>
      </c>
      <c r="F74" s="13">
        <v>0.43</v>
      </c>
      <c r="G74" s="13">
        <v>0.488</v>
      </c>
      <c r="H74" s="13">
        <v>0</v>
      </c>
    </row>
    <row r="75" spans="1:8" ht="15">
      <c r="A75" s="22" t="s">
        <v>68</v>
      </c>
      <c r="B75" s="22" t="s">
        <v>68</v>
      </c>
      <c r="C75" s="13">
        <v>0.117</v>
      </c>
      <c r="D75" s="7">
        <v>55</v>
      </c>
      <c r="E75" s="7">
        <v>45</v>
      </c>
      <c r="F75" s="13">
        <v>0.43</v>
      </c>
      <c r="G75" s="13">
        <v>0.489</v>
      </c>
      <c r="H75" s="13">
        <v>0</v>
      </c>
    </row>
    <row r="76" spans="1:8" ht="15">
      <c r="A76" s="22" t="s">
        <v>65</v>
      </c>
      <c r="B76" s="22" t="s">
        <v>65</v>
      </c>
      <c r="C76" s="13">
        <v>0.128</v>
      </c>
      <c r="D76" s="7">
        <v>60</v>
      </c>
      <c r="E76" s="7">
        <v>40</v>
      </c>
      <c r="F76" s="13">
        <v>0.43</v>
      </c>
      <c r="G76" s="13">
        <v>0.488</v>
      </c>
      <c r="H76" s="13">
        <v>0</v>
      </c>
    </row>
    <row r="77" spans="1:8" ht="15">
      <c r="A77" s="22" t="s">
        <v>69</v>
      </c>
      <c r="B77" s="22" t="s">
        <v>69</v>
      </c>
      <c r="C77" s="13">
        <v>0.121</v>
      </c>
      <c r="D77" s="7">
        <v>60</v>
      </c>
      <c r="E77" s="7">
        <v>40</v>
      </c>
      <c r="F77" s="13">
        <v>0.43</v>
      </c>
      <c r="G77" s="13">
        <v>0.489</v>
      </c>
      <c r="H77" s="13">
        <v>0</v>
      </c>
    </row>
    <row r="78" spans="1:8" ht="15">
      <c r="A78" s="123" t="s">
        <v>191</v>
      </c>
      <c r="B78" s="123" t="s">
        <v>191</v>
      </c>
      <c r="C78" s="124">
        <v>0.117</v>
      </c>
      <c r="D78" s="125">
        <v>40</v>
      </c>
      <c r="E78" s="125">
        <v>60</v>
      </c>
      <c r="F78" s="124">
        <v>0.43</v>
      </c>
      <c r="G78" s="124">
        <v>0.488</v>
      </c>
      <c r="H78" s="13">
        <v>0</v>
      </c>
    </row>
    <row r="79" spans="1:8" ht="15">
      <c r="A79" s="123" t="s">
        <v>192</v>
      </c>
      <c r="B79" s="123" t="s">
        <v>192</v>
      </c>
      <c r="C79" s="124">
        <v>0.121</v>
      </c>
      <c r="D79" s="125">
        <v>45</v>
      </c>
      <c r="E79" s="125">
        <v>55</v>
      </c>
      <c r="F79" s="124">
        <v>0.43</v>
      </c>
      <c r="G79" s="124">
        <v>0.488</v>
      </c>
      <c r="H79" s="13">
        <v>0</v>
      </c>
    </row>
    <row r="80" spans="1:8" ht="15">
      <c r="A80" s="123" t="s">
        <v>193</v>
      </c>
      <c r="B80" s="123" t="s">
        <v>193</v>
      </c>
      <c r="C80" s="124">
        <v>0.115</v>
      </c>
      <c r="D80" s="125">
        <v>45</v>
      </c>
      <c r="E80" s="125">
        <v>55</v>
      </c>
      <c r="F80" s="124">
        <v>0.43</v>
      </c>
      <c r="G80" s="124">
        <v>0.489</v>
      </c>
      <c r="H80" s="13">
        <v>0</v>
      </c>
    </row>
    <row r="81" spans="1:8" ht="15">
      <c r="A81" s="123" t="s">
        <v>194</v>
      </c>
      <c r="B81" s="123" t="s">
        <v>194</v>
      </c>
      <c r="C81" s="124">
        <v>0.125</v>
      </c>
      <c r="D81" s="125">
        <v>50</v>
      </c>
      <c r="E81" s="125">
        <v>50</v>
      </c>
      <c r="F81" s="124">
        <v>0.43</v>
      </c>
      <c r="G81" s="124">
        <v>0.488</v>
      </c>
      <c r="H81" s="13">
        <v>0</v>
      </c>
    </row>
    <row r="82" spans="1:8" ht="15">
      <c r="A82" s="123" t="s">
        <v>195</v>
      </c>
      <c r="B82" s="123" t="s">
        <v>195</v>
      </c>
      <c r="C82" s="124">
        <v>0.11900000000000001</v>
      </c>
      <c r="D82" s="125">
        <v>50</v>
      </c>
      <c r="E82" s="125">
        <v>50</v>
      </c>
      <c r="F82" s="124">
        <v>0.43</v>
      </c>
      <c r="G82" s="124">
        <v>0.489</v>
      </c>
      <c r="H82" s="13">
        <v>0</v>
      </c>
    </row>
    <row r="83" spans="1:8" ht="15">
      <c r="A83" s="123" t="s">
        <v>196</v>
      </c>
      <c r="B83" s="123" t="s">
        <v>196</v>
      </c>
      <c r="C83" s="124">
        <v>0.131</v>
      </c>
      <c r="D83" s="125">
        <v>55</v>
      </c>
      <c r="E83" s="125">
        <v>45</v>
      </c>
      <c r="F83" s="124">
        <v>0.43</v>
      </c>
      <c r="G83" s="124">
        <v>0.488</v>
      </c>
      <c r="H83" s="13">
        <v>0</v>
      </c>
    </row>
    <row r="84" spans="1:8" ht="15">
      <c r="A84" s="123" t="s">
        <v>197</v>
      </c>
      <c r="B84" s="123" t="s">
        <v>197</v>
      </c>
      <c r="C84" s="124">
        <v>0.124</v>
      </c>
      <c r="D84" s="125">
        <v>55</v>
      </c>
      <c r="E84" s="125">
        <v>45</v>
      </c>
      <c r="F84" s="124">
        <v>0.43</v>
      </c>
      <c r="G84" s="124">
        <v>0.489</v>
      </c>
      <c r="H84" s="13">
        <v>0</v>
      </c>
    </row>
    <row r="85" spans="1:8" ht="15">
      <c r="A85" s="123" t="s">
        <v>266</v>
      </c>
      <c r="B85" s="123" t="s">
        <v>266</v>
      </c>
      <c r="C85" s="158">
        <f>'Mix Info'!$I$5</f>
        <v>0.133</v>
      </c>
      <c r="D85" s="153">
        <f>'Mix Info'!$F$8</f>
        <v>50</v>
      </c>
      <c r="E85" s="153">
        <f>'Mix Info'!$F$6</f>
        <v>50</v>
      </c>
      <c r="F85" s="157">
        <f>'Mix Info'!$I$6</f>
        <v>0.4</v>
      </c>
      <c r="G85" s="157">
        <f>'Mix Info'!$I$7</f>
        <v>0.45</v>
      </c>
      <c r="H85" s="157">
        <f>'Mix Info'!$F$7</f>
        <v>0</v>
      </c>
    </row>
    <row r="86" spans="1:8" ht="15">
      <c r="A86" s="123" t="s">
        <v>263</v>
      </c>
      <c r="B86" s="123" t="s">
        <v>263</v>
      </c>
      <c r="C86" s="124">
        <v>0.106</v>
      </c>
      <c r="D86" s="153">
        <f>'Mix Info'!$F$8</f>
        <v>50</v>
      </c>
      <c r="E86" s="153">
        <f>'Mix Info'!$F$6</f>
        <v>50</v>
      </c>
      <c r="F86" s="124">
        <v>0.4</v>
      </c>
      <c r="G86" s="124">
        <v>0.45</v>
      </c>
      <c r="H86" s="157">
        <f>'Mix Info'!$F$7</f>
        <v>0</v>
      </c>
    </row>
    <row r="87" spans="1:8" ht="15">
      <c r="A87" s="22" t="s">
        <v>78</v>
      </c>
      <c r="B87" s="22" t="s">
        <v>78</v>
      </c>
      <c r="C87" s="13">
        <v>0.135</v>
      </c>
      <c r="D87" s="7">
        <v>95</v>
      </c>
      <c r="E87" s="7">
        <v>5</v>
      </c>
      <c r="F87" s="13">
        <v>0.444</v>
      </c>
      <c r="G87" s="13">
        <v>0.467</v>
      </c>
      <c r="H87" s="13">
        <v>0</v>
      </c>
    </row>
    <row r="88" spans="1:8" ht="15">
      <c r="A88" s="22" t="s">
        <v>173</v>
      </c>
      <c r="B88" s="22" t="s">
        <v>173</v>
      </c>
      <c r="C88" s="13">
        <v>0.113</v>
      </c>
      <c r="D88" s="7">
        <v>70</v>
      </c>
      <c r="E88" s="7">
        <v>30</v>
      </c>
      <c r="F88" s="13">
        <v>0.43</v>
      </c>
      <c r="G88" s="13">
        <v>0.488</v>
      </c>
      <c r="H88" s="13">
        <v>0</v>
      </c>
    </row>
    <row r="89" spans="1:8" ht="15">
      <c r="A89" s="22" t="s">
        <v>178</v>
      </c>
      <c r="B89" s="22" t="s">
        <v>178</v>
      </c>
      <c r="C89" s="13">
        <v>0.123</v>
      </c>
      <c r="D89" s="7">
        <v>55</v>
      </c>
      <c r="E89" s="7">
        <v>45</v>
      </c>
      <c r="F89" s="13">
        <v>0.4</v>
      </c>
      <c r="G89" s="13">
        <v>0.42</v>
      </c>
      <c r="H89" s="13">
        <v>0</v>
      </c>
    </row>
    <row r="90" spans="1:8" ht="15">
      <c r="A90" s="22" t="s">
        <v>179</v>
      </c>
      <c r="B90" s="22" t="s">
        <v>179</v>
      </c>
      <c r="C90" s="13">
        <v>0.123</v>
      </c>
      <c r="D90" s="7">
        <v>55</v>
      </c>
      <c r="E90" s="7">
        <v>45</v>
      </c>
      <c r="F90" s="13">
        <v>0.42</v>
      </c>
      <c r="G90" s="13">
        <v>0.45</v>
      </c>
      <c r="H90" s="13">
        <v>0</v>
      </c>
    </row>
    <row r="91" spans="1:8" ht="15">
      <c r="A91" s="22" t="s">
        <v>264</v>
      </c>
      <c r="B91" s="22" t="s">
        <v>264</v>
      </c>
      <c r="C91" s="13">
        <v>0.114</v>
      </c>
      <c r="D91" s="7">
        <v>55</v>
      </c>
      <c r="E91" s="7">
        <v>45</v>
      </c>
      <c r="F91" s="13">
        <v>0.4</v>
      </c>
      <c r="G91" s="13">
        <v>0.45</v>
      </c>
      <c r="H91" s="13">
        <v>0</v>
      </c>
    </row>
    <row r="92" spans="1:8" ht="15">
      <c r="A92" s="22" t="s">
        <v>70</v>
      </c>
      <c r="B92" s="22" t="s">
        <v>70</v>
      </c>
      <c r="C92" s="13">
        <v>0.134</v>
      </c>
      <c r="D92" s="7">
        <v>50</v>
      </c>
      <c r="E92" s="7">
        <v>50</v>
      </c>
      <c r="F92" s="13">
        <v>0.423</v>
      </c>
      <c r="G92" s="13">
        <v>0.45</v>
      </c>
      <c r="H92" s="13">
        <v>0</v>
      </c>
    </row>
    <row r="93" spans="1:8" ht="15">
      <c r="A93" s="22" t="s">
        <v>71</v>
      </c>
      <c r="B93" s="22" t="s">
        <v>71</v>
      </c>
      <c r="C93" s="13">
        <v>0.134</v>
      </c>
      <c r="D93" s="7">
        <v>60</v>
      </c>
      <c r="E93" s="7">
        <v>40</v>
      </c>
      <c r="F93" s="13">
        <v>0.423</v>
      </c>
      <c r="G93" s="13">
        <v>0.45</v>
      </c>
      <c r="H93" s="13">
        <v>0</v>
      </c>
    </row>
    <row r="94" spans="1:8" ht="15">
      <c r="A94" s="22" t="s">
        <v>198</v>
      </c>
      <c r="B94" s="22" t="s">
        <v>198</v>
      </c>
      <c r="C94" s="13"/>
      <c r="D94" s="7"/>
      <c r="E94" s="7"/>
      <c r="F94" s="13"/>
      <c r="G94" s="13"/>
      <c r="H94" s="13">
        <v>0</v>
      </c>
    </row>
    <row r="95" spans="1:8" ht="15">
      <c r="A95" s="22" t="s">
        <v>267</v>
      </c>
      <c r="B95" s="22" t="s">
        <v>267</v>
      </c>
      <c r="C95" s="13"/>
      <c r="D95" s="7"/>
      <c r="E95" s="7"/>
      <c r="F95" s="13"/>
      <c r="G95" s="13"/>
      <c r="H95" s="13">
        <v>0</v>
      </c>
    </row>
    <row r="96" spans="1:8" ht="15">
      <c r="A96" s="22" t="s">
        <v>171</v>
      </c>
      <c r="B96" s="22" t="s">
        <v>171</v>
      </c>
      <c r="C96" s="159">
        <v>0.118</v>
      </c>
      <c r="D96" s="153">
        <f>'Mix Info'!$F$8</f>
        <v>50</v>
      </c>
      <c r="E96" s="153">
        <f>'Mix Info'!$F$6</f>
        <v>50</v>
      </c>
      <c r="F96" s="13">
        <v>0.4</v>
      </c>
      <c r="G96" s="13">
        <v>0.42</v>
      </c>
      <c r="H96" s="157">
        <f>'Mix Info'!$F$7</f>
        <v>0</v>
      </c>
    </row>
    <row r="97" spans="1:8" ht="15">
      <c r="A97" s="119" t="s">
        <v>177</v>
      </c>
      <c r="B97" s="119" t="s">
        <v>177</v>
      </c>
      <c r="C97" s="159">
        <v>0.134</v>
      </c>
      <c r="D97" s="7">
        <v>50</v>
      </c>
      <c r="E97" s="7">
        <v>50</v>
      </c>
      <c r="F97" s="13">
        <v>0.39</v>
      </c>
      <c r="G97" s="13">
        <v>0.42</v>
      </c>
      <c r="H97" s="13">
        <v>0</v>
      </c>
    </row>
    <row r="98" spans="1:8" ht="15">
      <c r="A98" s="119" t="s">
        <v>172</v>
      </c>
      <c r="B98" s="119" t="s">
        <v>172</v>
      </c>
      <c r="C98" s="159">
        <v>0.118</v>
      </c>
      <c r="D98" s="7">
        <v>50</v>
      </c>
      <c r="E98" s="7">
        <v>50</v>
      </c>
      <c r="F98" s="13">
        <v>0.42</v>
      </c>
      <c r="G98" s="13">
        <v>0.45</v>
      </c>
      <c r="H98" s="13">
        <v>0</v>
      </c>
    </row>
    <row r="99" spans="1:8" ht="15">
      <c r="A99" s="22" t="s">
        <v>72</v>
      </c>
      <c r="B99" s="22" t="s">
        <v>72</v>
      </c>
      <c r="C99" s="13">
        <v>0.149</v>
      </c>
      <c r="D99" s="7">
        <v>45</v>
      </c>
      <c r="E99" s="7">
        <v>55</v>
      </c>
      <c r="F99" s="13">
        <v>0.328</v>
      </c>
      <c r="G99" s="13">
        <v>0.4</v>
      </c>
      <c r="H99" s="13">
        <v>0</v>
      </c>
    </row>
    <row r="100" spans="1:8" ht="15">
      <c r="A100" s="22" t="s">
        <v>73</v>
      </c>
      <c r="B100" s="22" t="s">
        <v>73</v>
      </c>
      <c r="C100" s="13">
        <v>0.156</v>
      </c>
      <c r="D100" s="7">
        <v>50</v>
      </c>
      <c r="E100" s="7">
        <v>50</v>
      </c>
      <c r="F100" s="13">
        <v>0.328</v>
      </c>
      <c r="G100" s="13">
        <v>0.4</v>
      </c>
      <c r="H100" s="13">
        <v>0</v>
      </c>
    </row>
    <row r="101" spans="1:8" ht="15">
      <c r="A101" s="22" t="s">
        <v>226</v>
      </c>
      <c r="B101" s="22" t="s">
        <v>226</v>
      </c>
      <c r="C101" s="13">
        <v>0.16</v>
      </c>
      <c r="D101" s="7">
        <v>55</v>
      </c>
      <c r="E101" s="7">
        <v>45</v>
      </c>
      <c r="F101" s="13">
        <v>0.328</v>
      </c>
      <c r="G101" s="13">
        <v>0.4</v>
      </c>
      <c r="H101" s="13">
        <v>0</v>
      </c>
    </row>
    <row r="102" spans="1:8" ht="15">
      <c r="A102" s="22" t="s">
        <v>79</v>
      </c>
      <c r="B102" s="22" t="s">
        <v>79</v>
      </c>
      <c r="C102" s="13">
        <v>0.16</v>
      </c>
      <c r="D102" s="7">
        <v>95</v>
      </c>
      <c r="E102" s="7">
        <v>5</v>
      </c>
      <c r="F102" s="13">
        <v>0.39</v>
      </c>
      <c r="G102" s="13">
        <v>0.42</v>
      </c>
      <c r="H102" s="13">
        <v>0</v>
      </c>
    </row>
    <row r="103" spans="1:8" ht="15">
      <c r="A103" s="22" t="s">
        <v>210</v>
      </c>
      <c r="B103" s="22" t="s">
        <v>210</v>
      </c>
      <c r="C103" s="13">
        <v>0.155</v>
      </c>
      <c r="D103" s="7">
        <v>55</v>
      </c>
      <c r="E103" s="7">
        <v>45</v>
      </c>
      <c r="F103" s="13">
        <v>0.35</v>
      </c>
      <c r="G103" s="13">
        <v>0.4</v>
      </c>
      <c r="H103" s="13">
        <v>0</v>
      </c>
    </row>
    <row r="104" spans="1:8" ht="15">
      <c r="A104" s="22" t="s">
        <v>168</v>
      </c>
      <c r="B104" s="22" t="s">
        <v>168</v>
      </c>
      <c r="C104" s="13">
        <v>0.156</v>
      </c>
      <c r="D104" s="7">
        <v>50</v>
      </c>
      <c r="E104" s="7">
        <v>50</v>
      </c>
      <c r="F104" s="13">
        <v>0.327</v>
      </c>
      <c r="G104" s="13"/>
      <c r="H104" s="13">
        <v>0</v>
      </c>
    </row>
    <row r="105" spans="1:8" ht="15">
      <c r="A105" s="22" t="s">
        <v>93</v>
      </c>
      <c r="B105" s="22" t="s">
        <v>93</v>
      </c>
      <c r="C105" s="160">
        <v>0.1059</v>
      </c>
      <c r="D105" s="153">
        <f>'Mix Info'!$F$8</f>
        <v>50</v>
      </c>
      <c r="E105" s="153">
        <f>'Mix Info'!$F$6</f>
        <v>50</v>
      </c>
      <c r="F105" s="156">
        <v>0.4</v>
      </c>
      <c r="G105" s="156">
        <v>0.45</v>
      </c>
      <c r="H105" s="157">
        <f>'Mix Info'!$F$7</f>
        <v>0</v>
      </c>
    </row>
    <row r="106" spans="1:8" ht="15">
      <c r="A106" s="154" t="s">
        <v>268</v>
      </c>
      <c r="B106" s="154" t="s">
        <v>268</v>
      </c>
      <c r="C106" s="158">
        <f>'Mix Info'!$I$5</f>
        <v>0.133</v>
      </c>
      <c r="D106" s="153">
        <f>'Mix Info'!$F$8</f>
        <v>50</v>
      </c>
      <c r="E106" s="153">
        <f>'Mix Info'!$F$6</f>
        <v>50</v>
      </c>
      <c r="F106" s="157">
        <f>'Mix Info'!$I$6</f>
        <v>0.4</v>
      </c>
      <c r="G106" s="157">
        <f>'Mix Info'!$I$7</f>
        <v>0.45</v>
      </c>
      <c r="H106" s="157">
        <f>'Mix Info'!$F$7</f>
        <v>0</v>
      </c>
    </row>
    <row r="107" spans="1:8" ht="15">
      <c r="A107" s="22" t="s">
        <v>269</v>
      </c>
      <c r="B107" s="22" t="s">
        <v>269</v>
      </c>
      <c r="C107" s="160">
        <v>0.1153</v>
      </c>
      <c r="D107" s="7">
        <v>50</v>
      </c>
      <c r="E107" s="7">
        <v>50</v>
      </c>
      <c r="F107" s="13">
        <v>0.4</v>
      </c>
      <c r="G107" s="13">
        <v>0.45</v>
      </c>
      <c r="H107" s="13">
        <v>0</v>
      </c>
    </row>
    <row r="108" spans="1:8" ht="15">
      <c r="A108" s="22" t="s">
        <v>199</v>
      </c>
      <c r="B108" s="22" t="s">
        <v>199</v>
      </c>
      <c r="C108" s="13">
        <v>0.124</v>
      </c>
      <c r="D108" s="7">
        <v>60</v>
      </c>
      <c r="E108" s="7">
        <v>40</v>
      </c>
      <c r="F108" s="13">
        <v>0.423</v>
      </c>
      <c r="G108" s="13">
        <v>0.45</v>
      </c>
      <c r="H108" s="13">
        <v>0</v>
      </c>
    </row>
    <row r="109" spans="1:8" ht="15">
      <c r="A109" s="22" t="s">
        <v>200</v>
      </c>
      <c r="B109" s="22" t="s">
        <v>200</v>
      </c>
      <c r="C109" s="13">
        <v>0.129</v>
      </c>
      <c r="D109" s="7">
        <v>55</v>
      </c>
      <c r="E109" s="7">
        <v>45</v>
      </c>
      <c r="F109" s="13">
        <v>0.423</v>
      </c>
      <c r="G109" s="13">
        <v>0.45</v>
      </c>
      <c r="H109" s="13">
        <v>0</v>
      </c>
    </row>
    <row r="110" spans="1:8" ht="15">
      <c r="A110" s="22" t="s">
        <v>201</v>
      </c>
      <c r="B110" s="22" t="s">
        <v>201</v>
      </c>
      <c r="C110" s="13">
        <v>0.134</v>
      </c>
      <c r="D110" s="7">
        <v>50</v>
      </c>
      <c r="E110" s="7">
        <v>50</v>
      </c>
      <c r="F110" s="13">
        <v>0.423</v>
      </c>
      <c r="G110" s="13">
        <v>0.45</v>
      </c>
      <c r="H110" s="13">
        <v>0</v>
      </c>
    </row>
    <row r="111" ht="15">
      <c r="B111" s="23"/>
    </row>
    <row r="112" ht="15">
      <c r="B112" s="23"/>
    </row>
    <row r="113" ht="15">
      <c r="B113" s="23"/>
    </row>
    <row r="114" ht="15">
      <c r="B114" s="23"/>
    </row>
    <row r="115" ht="15">
      <c r="B115" s="23"/>
    </row>
    <row r="116" ht="15">
      <c r="B116" s="23"/>
    </row>
    <row r="117" ht="15">
      <c r="B117" s="23"/>
    </row>
    <row r="118" ht="15">
      <c r="B118" s="23"/>
    </row>
    <row r="119" ht="15">
      <c r="B119" s="23"/>
    </row>
    <row r="120" ht="15">
      <c r="B120" s="23"/>
    </row>
    <row r="121" ht="15">
      <c r="B121" s="23"/>
    </row>
    <row r="122" ht="15">
      <c r="B122" s="23"/>
    </row>
    <row r="123" ht="15">
      <c r="B123" s="23"/>
    </row>
    <row r="124" ht="15">
      <c r="B124" s="23"/>
    </row>
    <row r="125" ht="15">
      <c r="B125" s="23"/>
    </row>
    <row r="126" ht="15">
      <c r="B126" s="23"/>
    </row>
    <row r="127" ht="15">
      <c r="B127" s="23"/>
    </row>
    <row r="128" ht="15">
      <c r="B128" s="23"/>
    </row>
    <row r="129" ht="15">
      <c r="B129" s="23"/>
    </row>
    <row r="130" ht="15">
      <c r="B130" s="23"/>
    </row>
    <row r="131" ht="15">
      <c r="B131" s="23"/>
    </row>
    <row r="132" ht="15">
      <c r="B132" s="23"/>
    </row>
    <row r="133" ht="15">
      <c r="B133" s="23"/>
    </row>
    <row r="134" ht="15">
      <c r="B134" s="23"/>
    </row>
    <row r="135" ht="15">
      <c r="B135" s="23"/>
    </row>
    <row r="136" ht="15">
      <c r="B136" s="23"/>
    </row>
    <row r="137" ht="15">
      <c r="B137" s="23"/>
    </row>
    <row r="138" ht="15">
      <c r="B138" s="23"/>
    </row>
    <row r="139" ht="15">
      <c r="B139" s="23"/>
    </row>
    <row r="140" ht="15">
      <c r="B140" s="23"/>
    </row>
    <row r="141" ht="15">
      <c r="B141" s="23"/>
    </row>
    <row r="142" ht="15">
      <c r="B142" s="23"/>
    </row>
    <row r="143" ht="15">
      <c r="B143" s="23"/>
    </row>
    <row r="144" ht="15">
      <c r="B144" s="23"/>
    </row>
    <row r="145" ht="15">
      <c r="B145" s="23"/>
    </row>
    <row r="146" ht="15">
      <c r="B146" s="23"/>
    </row>
    <row r="147" ht="15">
      <c r="B147" s="23"/>
    </row>
    <row r="148" ht="15">
      <c r="B148" s="23"/>
    </row>
    <row r="149" ht="15">
      <c r="B149" s="23"/>
    </row>
    <row r="150" ht="15">
      <c r="B150" s="23"/>
    </row>
    <row r="151" ht="15">
      <c r="B151" s="23"/>
    </row>
    <row r="152" ht="15">
      <c r="B152" s="23"/>
    </row>
    <row r="153" ht="15">
      <c r="B153" s="23"/>
    </row>
    <row r="154" ht="15">
      <c r="B154" s="23"/>
    </row>
    <row r="155" ht="15">
      <c r="B155" s="23"/>
    </row>
    <row r="156" ht="15">
      <c r="B156" s="23"/>
    </row>
    <row r="157" ht="15">
      <c r="B157" s="23"/>
    </row>
    <row r="158" ht="15">
      <c r="B158" s="23"/>
    </row>
    <row r="159" ht="15">
      <c r="B159" s="23"/>
    </row>
    <row r="160" ht="15">
      <c r="B160" s="23"/>
    </row>
    <row r="161" ht="15">
      <c r="B161" s="23"/>
    </row>
    <row r="162" ht="15">
      <c r="B162" s="23"/>
    </row>
    <row r="163" ht="15">
      <c r="B163" s="23"/>
    </row>
    <row r="164" ht="15">
      <c r="B164" s="23"/>
    </row>
    <row r="165" ht="15">
      <c r="B165" s="23"/>
    </row>
    <row r="166" ht="15">
      <c r="B166" s="23"/>
    </row>
    <row r="167" ht="15">
      <c r="B167" s="23"/>
    </row>
    <row r="168" ht="15">
      <c r="B168" s="23"/>
    </row>
    <row r="169" ht="15">
      <c r="B169" s="23"/>
    </row>
    <row r="170" ht="15">
      <c r="B170" s="23"/>
    </row>
    <row r="171" ht="15">
      <c r="B171" s="23"/>
    </row>
    <row r="172" ht="15">
      <c r="B172" s="23"/>
    </row>
    <row r="173" ht="15">
      <c r="B173" s="23"/>
    </row>
    <row r="174" ht="15">
      <c r="B174" s="23"/>
    </row>
    <row r="175" ht="15">
      <c r="B175" s="23"/>
    </row>
    <row r="176" ht="15">
      <c r="B176" s="23"/>
    </row>
    <row r="177" ht="15">
      <c r="B177" s="23"/>
    </row>
    <row r="178" ht="15">
      <c r="B178" s="23"/>
    </row>
    <row r="179" ht="15">
      <c r="B179" s="23"/>
    </row>
    <row r="180" ht="15">
      <c r="B180" s="23"/>
    </row>
    <row r="181" ht="15">
      <c r="B181" s="23"/>
    </row>
    <row r="182" ht="15">
      <c r="B182" s="23"/>
    </row>
    <row r="183" ht="15">
      <c r="B183" s="23"/>
    </row>
    <row r="184" ht="15">
      <c r="B184" s="23"/>
    </row>
    <row r="185" ht="15">
      <c r="B185" s="23"/>
    </row>
    <row r="186" ht="15">
      <c r="B186" s="23"/>
    </row>
    <row r="187" ht="15">
      <c r="B187" s="23"/>
    </row>
    <row r="188" ht="15">
      <c r="B188" s="23"/>
    </row>
    <row r="189" ht="15">
      <c r="B189" s="23"/>
    </row>
    <row r="190" ht="15">
      <c r="B190" s="23"/>
    </row>
    <row r="191" ht="15">
      <c r="B191" s="23"/>
    </row>
    <row r="192" ht="15">
      <c r="B192" s="23"/>
    </row>
    <row r="193" ht="15">
      <c r="B193" s="23"/>
    </row>
    <row r="194" ht="15">
      <c r="B194" s="23"/>
    </row>
    <row r="195" ht="15">
      <c r="B195" s="23"/>
    </row>
    <row r="196" ht="15">
      <c r="B196" s="23"/>
    </row>
    <row r="197" ht="15">
      <c r="B197" s="23"/>
    </row>
    <row r="198" ht="15">
      <c r="B198" s="23"/>
    </row>
    <row r="199" ht="15">
      <c r="B199" s="23"/>
    </row>
    <row r="200" ht="15">
      <c r="B200" s="23"/>
    </row>
    <row r="201" ht="15">
      <c r="B201" s="23"/>
    </row>
    <row r="202" ht="15">
      <c r="B202" s="23"/>
    </row>
    <row r="203" ht="15">
      <c r="B203" s="23"/>
    </row>
    <row r="204" ht="15">
      <c r="B204" s="23"/>
    </row>
    <row r="205" ht="15">
      <c r="B205" s="23"/>
    </row>
    <row r="206" ht="15">
      <c r="B206" s="23"/>
    </row>
    <row r="207" ht="15">
      <c r="B207" s="23"/>
    </row>
    <row r="208" ht="15">
      <c r="B208" s="23"/>
    </row>
    <row r="209" ht="15">
      <c r="B209" s="23"/>
    </row>
    <row r="210" ht="15">
      <c r="B210" s="23"/>
    </row>
    <row r="211" ht="15">
      <c r="B211" s="23"/>
    </row>
    <row r="212" ht="15">
      <c r="B212" s="23"/>
    </row>
    <row r="213" ht="15">
      <c r="B213" s="23"/>
    </row>
    <row r="214" ht="15">
      <c r="B214" s="23"/>
    </row>
    <row r="215" ht="15">
      <c r="B215" s="23"/>
    </row>
    <row r="216" ht="15">
      <c r="B216" s="23"/>
    </row>
    <row r="217" ht="15">
      <c r="B217" s="23"/>
    </row>
    <row r="218" ht="15">
      <c r="B218" s="23"/>
    </row>
    <row r="219" ht="15">
      <c r="B219" s="23"/>
    </row>
    <row r="220" ht="15">
      <c r="B220" s="23"/>
    </row>
    <row r="221" ht="15">
      <c r="B221" s="23"/>
    </row>
    <row r="222" ht="15">
      <c r="B222" s="23"/>
    </row>
    <row r="223" ht="15">
      <c r="B223" s="23"/>
    </row>
    <row r="224" ht="15">
      <c r="B224" s="23"/>
    </row>
    <row r="225" ht="15">
      <c r="B225" s="23"/>
    </row>
    <row r="226" ht="15">
      <c r="B226" s="23"/>
    </row>
    <row r="227" ht="15">
      <c r="B227" s="23"/>
    </row>
    <row r="228" ht="15">
      <c r="B228" s="23"/>
    </row>
    <row r="229" ht="15">
      <c r="B229" s="23"/>
    </row>
    <row r="230" ht="15">
      <c r="B230" s="23"/>
    </row>
    <row r="231" ht="15">
      <c r="B231" s="23"/>
    </row>
    <row r="232" ht="15">
      <c r="B232" s="23"/>
    </row>
    <row r="233" ht="15">
      <c r="B233" s="23"/>
    </row>
    <row r="234" ht="15">
      <c r="B234" s="23"/>
    </row>
    <row r="235" ht="15">
      <c r="B235" s="23"/>
    </row>
    <row r="236" ht="15">
      <c r="B236" s="23"/>
    </row>
    <row r="237" ht="15">
      <c r="B237" s="23"/>
    </row>
    <row r="238" ht="15">
      <c r="B238" s="23"/>
    </row>
    <row r="239" ht="15">
      <c r="B239" s="23"/>
    </row>
    <row r="240" ht="15">
      <c r="B240" s="23"/>
    </row>
    <row r="241" ht="15">
      <c r="B241" s="23"/>
    </row>
    <row r="242" ht="15">
      <c r="B242" s="23"/>
    </row>
    <row r="243" ht="15">
      <c r="B243" s="23"/>
    </row>
    <row r="244" ht="15">
      <c r="B244" s="23"/>
    </row>
    <row r="245" ht="15">
      <c r="B245" s="23"/>
    </row>
    <row r="246" ht="15">
      <c r="B246" s="23"/>
    </row>
    <row r="247" ht="15">
      <c r="B247" s="23"/>
    </row>
    <row r="248" ht="15">
      <c r="B248" s="23"/>
    </row>
    <row r="249" ht="15">
      <c r="B249" s="23"/>
    </row>
    <row r="250" ht="15">
      <c r="B250" s="23"/>
    </row>
    <row r="251" ht="15">
      <c r="B251" s="23"/>
    </row>
    <row r="252" ht="15">
      <c r="B252" s="23"/>
    </row>
    <row r="253" ht="15">
      <c r="B253" s="23"/>
    </row>
    <row r="254" ht="15">
      <c r="B254" s="23"/>
    </row>
    <row r="255" ht="15">
      <c r="B255" s="23"/>
    </row>
    <row r="256" ht="15">
      <c r="B256" s="23"/>
    </row>
    <row r="257" ht="15">
      <c r="B257" s="23"/>
    </row>
    <row r="258" ht="15">
      <c r="B258" s="23"/>
    </row>
    <row r="259" ht="15">
      <c r="B259" s="23"/>
    </row>
    <row r="260" ht="15">
      <c r="B260" s="23"/>
    </row>
    <row r="261" ht="15">
      <c r="B261" s="23"/>
    </row>
    <row r="262" ht="15">
      <c r="B262" s="23"/>
    </row>
    <row r="263" ht="15">
      <c r="B263" s="23"/>
    </row>
    <row r="264" ht="15">
      <c r="B264" s="23"/>
    </row>
    <row r="265" ht="15">
      <c r="B265" s="23"/>
    </row>
    <row r="266" ht="15">
      <c r="B266" s="23"/>
    </row>
    <row r="267" ht="15">
      <c r="B267" s="23"/>
    </row>
    <row r="268" ht="15">
      <c r="B268" s="23"/>
    </row>
    <row r="269" ht="15">
      <c r="B269" s="23"/>
    </row>
    <row r="270" ht="15">
      <c r="B270" s="23"/>
    </row>
    <row r="271" ht="15">
      <c r="B271" s="23"/>
    </row>
    <row r="272" ht="15">
      <c r="B272" s="23"/>
    </row>
    <row r="273" ht="15">
      <c r="B273" s="23"/>
    </row>
    <row r="274" ht="15">
      <c r="B274" s="23"/>
    </row>
    <row r="275" ht="15">
      <c r="B275" s="23"/>
    </row>
    <row r="276" ht="15">
      <c r="B276" s="23"/>
    </row>
    <row r="277" ht="15">
      <c r="B277" s="23"/>
    </row>
    <row r="278" ht="15">
      <c r="B278" s="23"/>
    </row>
    <row r="279" ht="15">
      <c r="B279" s="23"/>
    </row>
    <row r="280" ht="15">
      <c r="B280" s="23"/>
    </row>
    <row r="281" ht="15">
      <c r="B281" s="23"/>
    </row>
    <row r="282" ht="15">
      <c r="B282" s="23"/>
    </row>
    <row r="283" ht="15">
      <c r="B283" s="23"/>
    </row>
    <row r="284" ht="15">
      <c r="B284" s="23"/>
    </row>
    <row r="285" ht="15">
      <c r="B285" s="23"/>
    </row>
    <row r="286" ht="15">
      <c r="B286" s="23"/>
    </row>
    <row r="287" ht="15">
      <c r="B287" s="23"/>
    </row>
    <row r="288" ht="15">
      <c r="B288" s="23"/>
    </row>
    <row r="289" ht="15">
      <c r="B289" s="23"/>
    </row>
    <row r="290" ht="15">
      <c r="B290" s="23"/>
    </row>
    <row r="291" ht="15">
      <c r="B291" s="23"/>
    </row>
    <row r="292" ht="15">
      <c r="B292" s="23"/>
    </row>
    <row r="293" ht="15">
      <c r="B293" s="23"/>
    </row>
    <row r="294" ht="15">
      <c r="B294" s="23"/>
    </row>
    <row r="295" ht="15">
      <c r="B295" s="23"/>
    </row>
    <row r="296" ht="15">
      <c r="B296" s="23"/>
    </row>
    <row r="297" ht="15">
      <c r="B297" s="23"/>
    </row>
    <row r="298" ht="15">
      <c r="B298" s="23"/>
    </row>
    <row r="299" ht="15">
      <c r="B299" s="23"/>
    </row>
    <row r="300" ht="15">
      <c r="B300" s="23"/>
    </row>
    <row r="301" ht="15">
      <c r="B301" s="23"/>
    </row>
    <row r="302" ht="15">
      <c r="B302" s="23"/>
    </row>
    <row r="303" ht="15">
      <c r="B303" s="23"/>
    </row>
    <row r="304" ht="15">
      <c r="B304" s="23"/>
    </row>
    <row r="305" ht="15">
      <c r="B305" s="23"/>
    </row>
    <row r="306" ht="15">
      <c r="B306" s="23"/>
    </row>
    <row r="307" ht="15">
      <c r="B307" s="23"/>
    </row>
    <row r="308" ht="15">
      <c r="B308" s="23"/>
    </row>
    <row r="309" ht="15">
      <c r="B309" s="23"/>
    </row>
    <row r="310" ht="15">
      <c r="B310" s="23"/>
    </row>
    <row r="311" ht="15">
      <c r="B311" s="23"/>
    </row>
    <row r="312" ht="15">
      <c r="B312" s="23"/>
    </row>
    <row r="313" ht="15">
      <c r="B313" s="23"/>
    </row>
    <row r="314" ht="15">
      <c r="B314" s="23"/>
    </row>
    <row r="315" ht="15">
      <c r="B315" s="23"/>
    </row>
    <row r="316" ht="15">
      <c r="B316" s="23"/>
    </row>
    <row r="317" ht="15">
      <c r="B317" s="23"/>
    </row>
    <row r="318" ht="15">
      <c r="B318" s="23"/>
    </row>
    <row r="319" ht="15">
      <c r="B319" s="23"/>
    </row>
    <row r="320" ht="15">
      <c r="B320" s="23"/>
    </row>
    <row r="321" ht="15">
      <c r="B321" s="23"/>
    </row>
    <row r="322" ht="15">
      <c r="B322" s="23"/>
    </row>
    <row r="323" ht="15">
      <c r="B323" s="23"/>
    </row>
    <row r="324" ht="15">
      <c r="B324" s="23"/>
    </row>
    <row r="325" ht="15">
      <c r="B325" s="23"/>
    </row>
    <row r="326" ht="15">
      <c r="B326" s="23"/>
    </row>
    <row r="327" ht="15">
      <c r="B327" s="23"/>
    </row>
    <row r="328" ht="15">
      <c r="B328" s="23"/>
    </row>
    <row r="329" ht="15">
      <c r="B329" s="23"/>
    </row>
    <row r="330" ht="15">
      <c r="B330" s="23"/>
    </row>
    <row r="331" ht="15">
      <c r="B331" s="23"/>
    </row>
    <row r="332" ht="15">
      <c r="B332" s="23"/>
    </row>
    <row r="333" ht="15">
      <c r="B333" s="23"/>
    </row>
    <row r="334" ht="15">
      <c r="B334" s="23"/>
    </row>
    <row r="335" ht="15">
      <c r="B335" s="23"/>
    </row>
    <row r="336" ht="15">
      <c r="B336" s="23"/>
    </row>
    <row r="337" ht="15">
      <c r="B337" s="23"/>
    </row>
    <row r="338" ht="15">
      <c r="B338" s="23"/>
    </row>
    <row r="339" ht="15">
      <c r="B339" s="23"/>
    </row>
    <row r="340" ht="15">
      <c r="B340" s="23"/>
    </row>
    <row r="341" ht="15">
      <c r="B341" s="23"/>
    </row>
    <row r="342" ht="15">
      <c r="B342" s="23"/>
    </row>
    <row r="343" ht="15">
      <c r="B343" s="23"/>
    </row>
    <row r="344" ht="15">
      <c r="B344" s="23"/>
    </row>
    <row r="345" ht="15">
      <c r="B345" s="23"/>
    </row>
    <row r="346" ht="15">
      <c r="B346" s="23"/>
    </row>
    <row r="347" ht="15">
      <c r="B347" s="23"/>
    </row>
    <row r="348" ht="15">
      <c r="B348" s="23"/>
    </row>
    <row r="349" ht="15">
      <c r="B349" s="23"/>
    </row>
    <row r="350" ht="15">
      <c r="B350" s="23"/>
    </row>
    <row r="351" ht="15">
      <c r="B351" s="23"/>
    </row>
    <row r="352" ht="15">
      <c r="B352" s="23"/>
    </row>
    <row r="353" ht="15">
      <c r="B353" s="23"/>
    </row>
    <row r="354" ht="15">
      <c r="B354" s="23"/>
    </row>
    <row r="355" ht="15">
      <c r="B355" s="23"/>
    </row>
    <row r="356" ht="15">
      <c r="B356" s="23"/>
    </row>
    <row r="357" ht="15">
      <c r="B357" s="23"/>
    </row>
    <row r="358" ht="15">
      <c r="B358" s="23"/>
    </row>
    <row r="359" ht="15">
      <c r="B359" s="23"/>
    </row>
    <row r="360" ht="15">
      <c r="B360" s="23"/>
    </row>
    <row r="361" ht="15">
      <c r="B361" s="23"/>
    </row>
    <row r="362" ht="15">
      <c r="B362" s="23"/>
    </row>
    <row r="363" ht="15">
      <c r="B363" s="23"/>
    </row>
    <row r="364" ht="15">
      <c r="B364" s="23"/>
    </row>
    <row r="365" ht="15">
      <c r="B365" s="23"/>
    </row>
    <row r="366" ht="15">
      <c r="B366" s="23"/>
    </row>
    <row r="367" ht="15">
      <c r="B367" s="23"/>
    </row>
    <row r="368" ht="15">
      <c r="B368" s="23"/>
    </row>
    <row r="369" ht="15">
      <c r="B369" s="23"/>
    </row>
    <row r="370" ht="15">
      <c r="B370" s="23"/>
    </row>
    <row r="371" ht="15">
      <c r="B371" s="23"/>
    </row>
    <row r="372" ht="15">
      <c r="B372" s="23"/>
    </row>
    <row r="373" ht="15">
      <c r="B373" s="23"/>
    </row>
    <row r="374" ht="15">
      <c r="B374" s="23"/>
    </row>
    <row r="375" ht="15">
      <c r="B375" s="23"/>
    </row>
    <row r="376" ht="15">
      <c r="B376" s="23"/>
    </row>
    <row r="377" ht="15">
      <c r="B377" s="23"/>
    </row>
    <row r="378" ht="15">
      <c r="B378" s="23"/>
    </row>
    <row r="379" ht="15">
      <c r="B379" s="23"/>
    </row>
    <row r="380" ht="15">
      <c r="B380" s="23"/>
    </row>
    <row r="381" ht="15">
      <c r="B381" s="23"/>
    </row>
    <row r="382" ht="15">
      <c r="B382" s="23"/>
    </row>
    <row r="383" ht="15">
      <c r="B383" s="23"/>
    </row>
    <row r="384" ht="15">
      <c r="B384" s="23"/>
    </row>
    <row r="385" ht="15">
      <c r="B385" s="23"/>
    </row>
    <row r="386" ht="15">
      <c r="B386" s="23"/>
    </row>
    <row r="387" ht="15">
      <c r="B387" s="23"/>
    </row>
    <row r="388" ht="15">
      <c r="B388" s="23"/>
    </row>
    <row r="389" ht="15">
      <c r="B389" s="23"/>
    </row>
    <row r="390" ht="15">
      <c r="B390" s="23"/>
    </row>
    <row r="391" ht="15">
      <c r="B391" s="23"/>
    </row>
    <row r="392" ht="15">
      <c r="B392" s="23"/>
    </row>
    <row r="393" ht="15">
      <c r="B393" s="23"/>
    </row>
    <row r="394" ht="15">
      <c r="B394" s="23"/>
    </row>
    <row r="395" ht="15">
      <c r="B395" s="23"/>
    </row>
    <row r="396" ht="15">
      <c r="B396" s="23"/>
    </row>
    <row r="397" ht="15">
      <c r="B397" s="23"/>
    </row>
    <row r="398" ht="15">
      <c r="B398" s="23"/>
    </row>
    <row r="399" ht="15">
      <c r="B399" s="23"/>
    </row>
    <row r="400" ht="15">
      <c r="B400" s="23"/>
    </row>
    <row r="401" ht="15">
      <c r="B401" s="23"/>
    </row>
    <row r="402" ht="15">
      <c r="B402" s="23"/>
    </row>
    <row r="403" ht="15">
      <c r="B403" s="23"/>
    </row>
    <row r="404" ht="15">
      <c r="B404" s="23"/>
    </row>
    <row r="405" ht="15">
      <c r="B405" s="23"/>
    </row>
    <row r="406" ht="15">
      <c r="B406" s="23"/>
    </row>
    <row r="407" ht="15">
      <c r="B407" s="23"/>
    </row>
    <row r="408" ht="15">
      <c r="B408" s="23"/>
    </row>
    <row r="409" ht="15">
      <c r="B409" s="23"/>
    </row>
    <row r="410" ht="15">
      <c r="B410" s="23"/>
    </row>
    <row r="411" ht="15">
      <c r="B411" s="23"/>
    </row>
    <row r="412" ht="15">
      <c r="B412" s="23"/>
    </row>
    <row r="413" ht="15">
      <c r="B413" s="23"/>
    </row>
    <row r="414" ht="15">
      <c r="B414" s="23"/>
    </row>
    <row r="415" ht="15">
      <c r="B415" s="23"/>
    </row>
    <row r="416" ht="15">
      <c r="B416" s="23"/>
    </row>
    <row r="417" ht="15">
      <c r="B417" s="23"/>
    </row>
    <row r="418" ht="15">
      <c r="B418" s="23"/>
    </row>
    <row r="419" ht="15">
      <c r="B419" s="23"/>
    </row>
    <row r="420" ht="15">
      <c r="B420" s="23"/>
    </row>
    <row r="421" ht="15">
      <c r="B421" s="23"/>
    </row>
    <row r="422" ht="15">
      <c r="B422" s="23"/>
    </row>
    <row r="423" ht="15">
      <c r="B423" s="23"/>
    </row>
    <row r="424" ht="15">
      <c r="B424" s="23"/>
    </row>
    <row r="425" ht="15">
      <c r="B425" s="23"/>
    </row>
    <row r="426" ht="15">
      <c r="B426" s="23"/>
    </row>
    <row r="427" ht="15">
      <c r="B427" s="23"/>
    </row>
    <row r="428" ht="15">
      <c r="B428" s="23"/>
    </row>
    <row r="429" ht="15">
      <c r="B429" s="23"/>
    </row>
    <row r="430" ht="15">
      <c r="B430" s="23"/>
    </row>
    <row r="431" ht="15">
      <c r="B431" s="23"/>
    </row>
    <row r="432" ht="15">
      <c r="B432" s="23"/>
    </row>
    <row r="433" ht="15">
      <c r="B433" s="23"/>
    </row>
    <row r="434" ht="15">
      <c r="B434" s="23"/>
    </row>
    <row r="435" ht="15">
      <c r="B435" s="23"/>
    </row>
    <row r="436" ht="15">
      <c r="B436" s="23"/>
    </row>
    <row r="437" ht="15">
      <c r="B437" s="23"/>
    </row>
    <row r="438" ht="15">
      <c r="B438" s="23"/>
    </row>
    <row r="439" ht="15">
      <c r="B439" s="23"/>
    </row>
    <row r="440" ht="15">
      <c r="B440" s="23"/>
    </row>
    <row r="441" ht="15">
      <c r="B441" s="23"/>
    </row>
    <row r="442" ht="15">
      <c r="B442" s="23"/>
    </row>
    <row r="443" ht="15">
      <c r="B443" s="23"/>
    </row>
    <row r="444" ht="15">
      <c r="B444" s="23"/>
    </row>
    <row r="445" ht="15">
      <c r="B445" s="23"/>
    </row>
    <row r="446" ht="15">
      <c r="B446" s="23"/>
    </row>
    <row r="447" ht="15">
      <c r="B447" s="23"/>
    </row>
    <row r="448" ht="15">
      <c r="B448" s="23"/>
    </row>
    <row r="449" ht="15">
      <c r="B449" s="23"/>
    </row>
    <row r="450" ht="15">
      <c r="B450" s="23"/>
    </row>
    <row r="451" ht="15">
      <c r="B451" s="23"/>
    </row>
    <row r="452" ht="15">
      <c r="B452" s="23"/>
    </row>
    <row r="453" ht="15">
      <c r="B453" s="23"/>
    </row>
    <row r="454" ht="15">
      <c r="B454" s="23"/>
    </row>
    <row r="455" ht="15">
      <c r="B455" s="23"/>
    </row>
    <row r="456" ht="15">
      <c r="B456" s="23"/>
    </row>
    <row r="457" ht="15">
      <c r="B457" s="23"/>
    </row>
    <row r="458" ht="15">
      <c r="B458" s="23"/>
    </row>
    <row r="459" ht="15">
      <c r="B459" s="23"/>
    </row>
    <row r="460" ht="15">
      <c r="B460" s="23"/>
    </row>
    <row r="461" ht="15">
      <c r="B461" s="23"/>
    </row>
    <row r="462" ht="15">
      <c r="B462" s="23"/>
    </row>
    <row r="463" ht="15">
      <c r="B463" s="23"/>
    </row>
    <row r="464" ht="15">
      <c r="B464" s="23"/>
    </row>
    <row r="465" ht="15">
      <c r="B465" s="23"/>
    </row>
    <row r="466" ht="15">
      <c r="B466" s="23"/>
    </row>
    <row r="467" ht="15">
      <c r="B467" s="23"/>
    </row>
    <row r="468" ht="15">
      <c r="B468" s="23"/>
    </row>
    <row r="469" ht="15">
      <c r="B469" s="23"/>
    </row>
    <row r="470" ht="15">
      <c r="B470" s="23"/>
    </row>
    <row r="471" ht="15">
      <c r="B471" s="23"/>
    </row>
    <row r="472" ht="15">
      <c r="B472" s="23"/>
    </row>
    <row r="473" ht="15">
      <c r="B473" s="23"/>
    </row>
    <row r="474" ht="15">
      <c r="B474" s="23"/>
    </row>
    <row r="475" ht="15">
      <c r="B475" s="23"/>
    </row>
    <row r="476" ht="15">
      <c r="B476" s="23"/>
    </row>
    <row r="477" ht="15">
      <c r="B477" s="23"/>
    </row>
    <row r="478" ht="15">
      <c r="B478" s="23"/>
    </row>
    <row r="479" ht="15">
      <c r="B479" s="23"/>
    </row>
    <row r="480" ht="15">
      <c r="B480" s="23"/>
    </row>
    <row r="481" ht="15">
      <c r="B481" s="23"/>
    </row>
    <row r="482" ht="15">
      <c r="B482" s="23"/>
    </row>
    <row r="483" ht="15">
      <c r="B483" s="23"/>
    </row>
    <row r="484" ht="15">
      <c r="B484" s="23"/>
    </row>
    <row r="485" ht="15">
      <c r="B485" s="23"/>
    </row>
    <row r="486" ht="15">
      <c r="B486" s="23"/>
    </row>
    <row r="487" ht="15">
      <c r="B487" s="23"/>
    </row>
    <row r="488" ht="15">
      <c r="B488" s="23"/>
    </row>
    <row r="489" ht="15">
      <c r="B489" s="23"/>
    </row>
    <row r="490" ht="15">
      <c r="B490" s="23"/>
    </row>
    <row r="491" ht="15">
      <c r="B491" s="23"/>
    </row>
    <row r="492" ht="15">
      <c r="B492" s="23"/>
    </row>
    <row r="493" ht="15">
      <c r="B493" s="23"/>
    </row>
    <row r="494" ht="15">
      <c r="B494" s="23"/>
    </row>
    <row r="495" ht="15">
      <c r="B495" s="23"/>
    </row>
    <row r="496" ht="15">
      <c r="B496" s="23"/>
    </row>
    <row r="497" ht="15">
      <c r="B497" s="23"/>
    </row>
    <row r="498" ht="15">
      <c r="B498" s="23"/>
    </row>
    <row r="499" ht="15">
      <c r="B499" s="23"/>
    </row>
    <row r="500" ht="15">
      <c r="B500" s="23"/>
    </row>
    <row r="501" ht="15">
      <c r="B501" s="23"/>
    </row>
    <row r="502" ht="15">
      <c r="B502" s="23"/>
    </row>
    <row r="503" ht="15">
      <c r="B503" s="23"/>
    </row>
    <row r="504" ht="15">
      <c r="B504" s="23"/>
    </row>
    <row r="505" ht="15">
      <c r="B505" s="23"/>
    </row>
    <row r="506" ht="15">
      <c r="B506" s="23"/>
    </row>
    <row r="507" ht="15">
      <c r="B507" s="23"/>
    </row>
    <row r="508" ht="15">
      <c r="B508" s="23"/>
    </row>
    <row r="509" ht="15">
      <c r="B509" s="23"/>
    </row>
    <row r="510" ht="15">
      <c r="B510" s="23"/>
    </row>
    <row r="511" ht="15">
      <c r="B511" s="23"/>
    </row>
    <row r="512" ht="15">
      <c r="B512" s="23"/>
    </row>
    <row r="513" ht="15">
      <c r="B513" s="23"/>
    </row>
    <row r="514" ht="15">
      <c r="B514" s="23"/>
    </row>
    <row r="515" ht="15">
      <c r="B515" s="23"/>
    </row>
    <row r="516" ht="15">
      <c r="B516" s="23"/>
    </row>
    <row r="517" ht="15">
      <c r="B517" s="23"/>
    </row>
    <row r="518" ht="15">
      <c r="B518" s="23"/>
    </row>
    <row r="519" ht="15">
      <c r="B519" s="23"/>
    </row>
    <row r="520" ht="15">
      <c r="B520" s="23"/>
    </row>
    <row r="521" ht="15">
      <c r="B521" s="23"/>
    </row>
    <row r="522" ht="15">
      <c r="B522" s="23"/>
    </row>
    <row r="523" ht="15">
      <c r="B523" s="23"/>
    </row>
    <row r="524" ht="15">
      <c r="B524" s="23"/>
    </row>
    <row r="525" ht="15">
      <c r="B525" s="23"/>
    </row>
    <row r="526" ht="15">
      <c r="B526" s="23"/>
    </row>
    <row r="527" ht="15">
      <c r="B527" s="23"/>
    </row>
    <row r="528" ht="15">
      <c r="B528" s="23"/>
    </row>
    <row r="529" ht="15">
      <c r="B529" s="23"/>
    </row>
    <row r="530" ht="15">
      <c r="B530" s="23"/>
    </row>
    <row r="531" ht="15">
      <c r="B531" s="23"/>
    </row>
    <row r="532" ht="15">
      <c r="B532" s="23"/>
    </row>
    <row r="533" ht="15">
      <c r="B533" s="23"/>
    </row>
    <row r="534" ht="15">
      <c r="B534" s="23"/>
    </row>
    <row r="535" ht="15">
      <c r="B535" s="23"/>
    </row>
    <row r="536" ht="15">
      <c r="B536" s="23"/>
    </row>
    <row r="537" ht="15">
      <c r="B537" s="23"/>
    </row>
    <row r="538" ht="15">
      <c r="B538" s="23"/>
    </row>
    <row r="539" ht="15">
      <c r="B539" s="23"/>
    </row>
    <row r="540" ht="15">
      <c r="B540" s="23"/>
    </row>
    <row r="541" ht="15">
      <c r="B541" s="23"/>
    </row>
    <row r="542" ht="15">
      <c r="B542" s="23"/>
    </row>
    <row r="543" ht="15">
      <c r="B543" s="23"/>
    </row>
    <row r="544" ht="15">
      <c r="B544" s="23"/>
    </row>
    <row r="545" ht="15">
      <c r="B545" s="23"/>
    </row>
    <row r="546" ht="15">
      <c r="B546" s="23"/>
    </row>
    <row r="547" ht="15">
      <c r="B547" s="23"/>
    </row>
    <row r="548" ht="15">
      <c r="B548" s="23"/>
    </row>
    <row r="549" ht="15">
      <c r="B549" s="23"/>
    </row>
    <row r="550" ht="15">
      <c r="B550" s="23"/>
    </row>
    <row r="551" ht="15">
      <c r="B551" s="23"/>
    </row>
    <row r="552" ht="15">
      <c r="B552" s="23"/>
    </row>
    <row r="553" ht="15">
      <c r="B553" s="23"/>
    </row>
    <row r="554" ht="15">
      <c r="B554" s="23"/>
    </row>
    <row r="555" ht="15">
      <c r="B555" s="23"/>
    </row>
    <row r="556" ht="15">
      <c r="B556" s="23"/>
    </row>
    <row r="557" ht="15">
      <c r="B557" s="23"/>
    </row>
    <row r="558" ht="15">
      <c r="B558" s="23"/>
    </row>
    <row r="559" ht="15">
      <c r="B559" s="23"/>
    </row>
    <row r="560" ht="15">
      <c r="B560" s="23"/>
    </row>
    <row r="561" ht="15">
      <c r="B561" s="23"/>
    </row>
    <row r="562" ht="15">
      <c r="B562" s="23"/>
    </row>
    <row r="563" ht="15">
      <c r="B563" s="23"/>
    </row>
    <row r="564" ht="15">
      <c r="B564" s="23"/>
    </row>
    <row r="565" ht="15">
      <c r="B565" s="23"/>
    </row>
    <row r="566" ht="15">
      <c r="B566" s="23"/>
    </row>
    <row r="567" ht="15">
      <c r="B567" s="23"/>
    </row>
    <row r="568" ht="15">
      <c r="B568" s="23"/>
    </row>
    <row r="569" ht="15">
      <c r="B569" s="23"/>
    </row>
    <row r="570" ht="15">
      <c r="B570" s="23"/>
    </row>
    <row r="571" ht="15">
      <c r="B571" s="23"/>
    </row>
    <row r="572" ht="15">
      <c r="B572" s="23"/>
    </row>
    <row r="573" ht="15">
      <c r="B573" s="23"/>
    </row>
    <row r="574" ht="15">
      <c r="B574" s="23"/>
    </row>
    <row r="575" ht="15">
      <c r="B575" s="23"/>
    </row>
    <row r="576" ht="15">
      <c r="B576" s="23"/>
    </row>
    <row r="577" ht="15">
      <c r="B577" s="23"/>
    </row>
    <row r="578" ht="15">
      <c r="B578" s="23"/>
    </row>
    <row r="579" ht="15">
      <c r="B579" s="23"/>
    </row>
    <row r="580" ht="15">
      <c r="B580" s="23"/>
    </row>
    <row r="581" ht="15">
      <c r="B581" s="23"/>
    </row>
    <row r="582" ht="15">
      <c r="B582" s="23"/>
    </row>
    <row r="583" ht="15">
      <c r="B583" s="23"/>
    </row>
    <row r="584" ht="15">
      <c r="B584" s="23"/>
    </row>
    <row r="585" ht="15">
      <c r="B585" s="23"/>
    </row>
    <row r="586" ht="15">
      <c r="B586" s="23"/>
    </row>
    <row r="587" ht="15">
      <c r="B587" s="23"/>
    </row>
    <row r="588" ht="15">
      <c r="B588" s="23"/>
    </row>
    <row r="589" ht="15">
      <c r="B589" s="23"/>
    </row>
    <row r="590" ht="15">
      <c r="B590" s="23"/>
    </row>
    <row r="591" ht="15">
      <c r="B591" s="23"/>
    </row>
    <row r="592" ht="15">
      <c r="B592" s="23"/>
    </row>
    <row r="593" ht="15">
      <c r="B593" s="23"/>
    </row>
    <row r="594" ht="15">
      <c r="B594" s="23"/>
    </row>
    <row r="595" ht="15">
      <c r="B595" s="23"/>
    </row>
    <row r="596" ht="15">
      <c r="B596" s="23"/>
    </row>
    <row r="597" ht="15">
      <c r="B597" s="23"/>
    </row>
    <row r="598" ht="15">
      <c r="B598" s="23"/>
    </row>
    <row r="599" ht="15">
      <c r="B599" s="23"/>
    </row>
    <row r="600" ht="15">
      <c r="B600" s="23"/>
    </row>
    <row r="601" ht="15">
      <c r="B601" s="23"/>
    </row>
    <row r="602" ht="15">
      <c r="B602" s="23"/>
    </row>
    <row r="603" ht="15">
      <c r="B603" s="23"/>
    </row>
    <row r="604" ht="15">
      <c r="B604" s="23"/>
    </row>
    <row r="605" ht="15">
      <c r="B605" s="23"/>
    </row>
    <row r="606" ht="15">
      <c r="B606" s="23"/>
    </row>
    <row r="607" ht="15">
      <c r="B607" s="23"/>
    </row>
    <row r="608" ht="15">
      <c r="B608" s="23"/>
    </row>
    <row r="609" ht="15">
      <c r="B609" s="23"/>
    </row>
    <row r="610" ht="15">
      <c r="B610" s="23"/>
    </row>
    <row r="611" ht="15">
      <c r="B611" s="23"/>
    </row>
    <row r="612" ht="15">
      <c r="B612" s="23"/>
    </row>
    <row r="613" ht="15">
      <c r="B613" s="23"/>
    </row>
    <row r="614" ht="15">
      <c r="B614" s="23"/>
    </row>
    <row r="615" ht="15">
      <c r="B615" s="23"/>
    </row>
    <row r="616" ht="15">
      <c r="B616" s="23"/>
    </row>
    <row r="617" ht="15">
      <c r="B617" s="23"/>
    </row>
    <row r="618" ht="15">
      <c r="B618" s="23"/>
    </row>
    <row r="619" ht="15">
      <c r="B619" s="23"/>
    </row>
    <row r="620" ht="15">
      <c r="B620" s="23"/>
    </row>
    <row r="621" ht="15">
      <c r="B621" s="23"/>
    </row>
    <row r="622" ht="15">
      <c r="B622" s="23"/>
    </row>
    <row r="623" ht="15">
      <c r="B623" s="23"/>
    </row>
    <row r="624" ht="15">
      <c r="B624" s="23"/>
    </row>
    <row r="625" ht="15">
      <c r="B625" s="23"/>
    </row>
    <row r="626" ht="15">
      <c r="B626" s="23"/>
    </row>
    <row r="627" ht="15">
      <c r="B627" s="23"/>
    </row>
    <row r="628" ht="15">
      <c r="B628" s="23"/>
    </row>
    <row r="629" ht="15">
      <c r="B629" s="23"/>
    </row>
    <row r="630" ht="15">
      <c r="B630" s="23"/>
    </row>
    <row r="631" ht="15">
      <c r="B631" s="23"/>
    </row>
    <row r="632" ht="15">
      <c r="B632" s="23"/>
    </row>
    <row r="633" ht="15">
      <c r="B633" s="23"/>
    </row>
    <row r="634" ht="15">
      <c r="B634" s="23"/>
    </row>
    <row r="635" ht="15">
      <c r="B635" s="23"/>
    </row>
    <row r="636" ht="15">
      <c r="B636" s="23"/>
    </row>
    <row r="637" ht="15">
      <c r="B637" s="23"/>
    </row>
    <row r="638" ht="15">
      <c r="B638" s="23"/>
    </row>
    <row r="639" ht="15">
      <c r="B639" s="23"/>
    </row>
    <row r="640" ht="15">
      <c r="B640" s="23"/>
    </row>
    <row r="641" ht="15">
      <c r="B641" s="23"/>
    </row>
    <row r="642" ht="15">
      <c r="B642" s="23"/>
    </row>
    <row r="643" ht="15">
      <c r="B643" s="23"/>
    </row>
    <row r="644" ht="15">
      <c r="B644" s="23"/>
    </row>
    <row r="645" ht="15">
      <c r="B645" s="23"/>
    </row>
    <row r="646" ht="15">
      <c r="B646" s="23"/>
    </row>
    <row r="647" ht="15">
      <c r="B647" s="23"/>
    </row>
    <row r="648" ht="15">
      <c r="B648" s="23"/>
    </row>
    <row r="649" ht="15">
      <c r="B649" s="23"/>
    </row>
    <row r="650" ht="15">
      <c r="B650" s="23"/>
    </row>
    <row r="651" ht="15">
      <c r="B651" s="23"/>
    </row>
    <row r="652" ht="15">
      <c r="B652" s="23"/>
    </row>
    <row r="653" ht="15">
      <c r="B653" s="23"/>
    </row>
    <row r="654" ht="15">
      <c r="B654" s="23"/>
    </row>
    <row r="655" ht="15">
      <c r="B655" s="23"/>
    </row>
    <row r="656" ht="15">
      <c r="B656" s="23"/>
    </row>
    <row r="657" ht="15">
      <c r="B657" s="23"/>
    </row>
    <row r="658" ht="15">
      <c r="B658" s="23"/>
    </row>
    <row r="659" ht="15">
      <c r="B659" s="23"/>
    </row>
    <row r="660" ht="15">
      <c r="B660" s="23"/>
    </row>
    <row r="661" ht="15">
      <c r="B661" s="23"/>
    </row>
    <row r="662" ht="15">
      <c r="B662" s="23"/>
    </row>
    <row r="663" ht="15">
      <c r="B663" s="23"/>
    </row>
    <row r="664" ht="15">
      <c r="B664" s="23"/>
    </row>
    <row r="665" ht="15">
      <c r="B665" s="23"/>
    </row>
    <row r="666" ht="15">
      <c r="B666" s="23"/>
    </row>
    <row r="667" ht="15">
      <c r="B667" s="23"/>
    </row>
    <row r="668" ht="15">
      <c r="B668" s="23"/>
    </row>
    <row r="669" ht="15">
      <c r="B669" s="23"/>
    </row>
    <row r="670" ht="15">
      <c r="B670" s="23"/>
    </row>
    <row r="671" ht="15">
      <c r="B671" s="23"/>
    </row>
    <row r="672" ht="15">
      <c r="B672" s="23"/>
    </row>
    <row r="673" ht="15">
      <c r="B673" s="23"/>
    </row>
    <row r="674" ht="15">
      <c r="B674" s="23"/>
    </row>
    <row r="675" ht="15">
      <c r="B675" s="23"/>
    </row>
    <row r="676" ht="15">
      <c r="B676" s="23"/>
    </row>
    <row r="677" ht="15">
      <c r="B677" s="23"/>
    </row>
    <row r="678" ht="15">
      <c r="B678" s="23"/>
    </row>
    <row r="679" ht="15">
      <c r="B679" s="23"/>
    </row>
    <row r="680" ht="15">
      <c r="B680" s="23"/>
    </row>
    <row r="681" ht="15">
      <c r="B681" s="23"/>
    </row>
    <row r="682" ht="15">
      <c r="B682" s="23"/>
    </row>
    <row r="683" ht="15">
      <c r="B683" s="23"/>
    </row>
    <row r="684" ht="15">
      <c r="B684" s="23"/>
    </row>
    <row r="685" ht="15">
      <c r="B685" s="23"/>
    </row>
    <row r="686" ht="15">
      <c r="B686" s="23"/>
    </row>
    <row r="687" ht="15">
      <c r="B687" s="23"/>
    </row>
    <row r="688" ht="15">
      <c r="B688" s="23"/>
    </row>
    <row r="689" ht="15">
      <c r="B689" s="23"/>
    </row>
    <row r="690" ht="15">
      <c r="B690" s="23"/>
    </row>
    <row r="691" ht="15">
      <c r="B691" s="23"/>
    </row>
    <row r="692" ht="15">
      <c r="B692" s="23"/>
    </row>
    <row r="693" ht="15">
      <c r="B693" s="23"/>
    </row>
    <row r="694" ht="15">
      <c r="B694" s="23"/>
    </row>
    <row r="695" ht="15">
      <c r="B695" s="23"/>
    </row>
    <row r="696" ht="15">
      <c r="B696" s="23"/>
    </row>
    <row r="697" ht="15">
      <c r="B697" s="23"/>
    </row>
    <row r="698" ht="15">
      <c r="B698" s="23"/>
    </row>
    <row r="699" ht="15">
      <c r="B699" s="23"/>
    </row>
    <row r="700" ht="15">
      <c r="B700" s="23"/>
    </row>
    <row r="701" ht="15">
      <c r="B701" s="23"/>
    </row>
    <row r="702" ht="15">
      <c r="B702" s="23"/>
    </row>
    <row r="703" ht="15">
      <c r="B703" s="23"/>
    </row>
    <row r="704" ht="15">
      <c r="B704" s="23"/>
    </row>
    <row r="705" ht="15">
      <c r="B705" s="23"/>
    </row>
    <row r="706" ht="15">
      <c r="B706" s="23"/>
    </row>
    <row r="707" ht="15">
      <c r="B707" s="23"/>
    </row>
    <row r="708" ht="15">
      <c r="B708" s="23"/>
    </row>
    <row r="709" ht="15">
      <c r="B709" s="23"/>
    </row>
    <row r="710" ht="15">
      <c r="B710" s="23"/>
    </row>
    <row r="711" ht="15">
      <c r="B711" s="23"/>
    </row>
  </sheetData>
  <sheetProtection password="D8FF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Hart</dc:creator>
  <cp:keywords/>
  <dc:description/>
  <cp:lastModifiedBy>Administrator</cp:lastModifiedBy>
  <cp:lastPrinted>2016-08-24T11:44:25Z</cp:lastPrinted>
  <dcterms:created xsi:type="dcterms:W3CDTF">2000-02-28T16:48:30Z</dcterms:created>
  <dcterms:modified xsi:type="dcterms:W3CDTF">2017-03-10T13:07:06Z</dcterms:modified>
  <cp:category/>
  <cp:version/>
  <cp:contentType/>
  <cp:contentStatus/>
</cp:coreProperties>
</file>